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ise\Desktop\DEFENSA JUDICIAL - CONTABILIDAD\II SEMESTRE 2018\"/>
    </mc:Choice>
  </mc:AlternateContent>
  <bookViews>
    <workbookView xWindow="0" yWindow="0" windowWidth="20490" windowHeight="7650"/>
  </bookViews>
  <sheets>
    <sheet name="Informe" sheetId="1" r:id="rId1"/>
    <sheet name="Hoj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_xlnm._FilterDatabase" localSheetId="0" hidden="1">Informe!$A$1:$N$65</definedName>
    <definedName name="_xlnm.Print_Area" localSheetId="0">Informe!$A$1:$N$68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I63" i="1"/>
  <c r="I64" i="1"/>
  <c r="I62" i="1"/>
  <c r="Q2" i="1"/>
  <c r="N58" i="1"/>
  <c r="M58" i="1"/>
  <c r="L58" i="1"/>
  <c r="K58" i="1"/>
  <c r="H58" i="1"/>
  <c r="F58" i="1"/>
  <c r="E58" i="1"/>
  <c r="D58" i="1"/>
  <c r="C58" i="1"/>
  <c r="N57" i="1"/>
  <c r="M57" i="1"/>
  <c r="L57" i="1"/>
  <c r="K57" i="1"/>
  <c r="H57" i="1"/>
  <c r="F57" i="1"/>
  <c r="E57" i="1"/>
  <c r="D57" i="1"/>
  <c r="C57" i="1"/>
  <c r="N56" i="1"/>
  <c r="M56" i="1"/>
  <c r="L56" i="1"/>
  <c r="K56" i="1"/>
  <c r="H56" i="1"/>
  <c r="F56" i="1"/>
  <c r="E56" i="1"/>
  <c r="D56" i="1"/>
  <c r="C56" i="1"/>
  <c r="N55" i="1"/>
  <c r="M55" i="1"/>
  <c r="L55" i="1"/>
  <c r="K55" i="1"/>
  <c r="H55" i="1"/>
  <c r="F55" i="1"/>
  <c r="E55" i="1"/>
  <c r="D55" i="1"/>
  <c r="C55" i="1"/>
  <c r="N54" i="1"/>
  <c r="M54" i="1"/>
  <c r="L54" i="1"/>
  <c r="K54" i="1"/>
  <c r="H54" i="1"/>
  <c r="F54" i="1"/>
  <c r="E54" i="1"/>
  <c r="D54" i="1"/>
  <c r="C54" i="1"/>
  <c r="N53" i="1"/>
  <c r="M53" i="1"/>
  <c r="L53" i="1"/>
  <c r="K53" i="1"/>
  <c r="H53" i="1"/>
  <c r="F53" i="1"/>
  <c r="E53" i="1"/>
  <c r="D53" i="1"/>
  <c r="C53" i="1"/>
  <c r="N52" i="1"/>
  <c r="M52" i="1"/>
  <c r="L52" i="1"/>
  <c r="K52" i="1"/>
  <c r="H52" i="1"/>
  <c r="F52" i="1"/>
  <c r="E52" i="1"/>
  <c r="D52" i="1"/>
  <c r="C52" i="1"/>
  <c r="N51" i="1"/>
  <c r="M51" i="1"/>
  <c r="L51" i="1"/>
  <c r="K51" i="1"/>
  <c r="H51" i="1"/>
  <c r="F51" i="1"/>
  <c r="E51" i="1"/>
  <c r="D51" i="1"/>
  <c r="C51" i="1"/>
  <c r="N50" i="1"/>
  <c r="M50" i="1"/>
  <c r="L50" i="1"/>
  <c r="K50" i="1"/>
  <c r="H50" i="1"/>
  <c r="F50" i="1"/>
  <c r="E50" i="1"/>
  <c r="D50" i="1"/>
  <c r="C50" i="1"/>
  <c r="N49" i="1"/>
  <c r="M49" i="1"/>
  <c r="L49" i="1"/>
  <c r="K49" i="1"/>
  <c r="H49" i="1"/>
  <c r="F49" i="1"/>
  <c r="E49" i="1"/>
  <c r="D49" i="1"/>
  <c r="C49" i="1"/>
  <c r="N48" i="1"/>
  <c r="M48" i="1"/>
  <c r="L48" i="1"/>
  <c r="K48" i="1"/>
  <c r="H48" i="1"/>
  <c r="F48" i="1"/>
  <c r="E48" i="1"/>
  <c r="D48" i="1"/>
  <c r="C48" i="1"/>
  <c r="N47" i="1"/>
  <c r="M47" i="1"/>
  <c r="L47" i="1"/>
  <c r="K47" i="1"/>
  <c r="H47" i="1"/>
  <c r="F47" i="1"/>
  <c r="E47" i="1"/>
  <c r="D47" i="1"/>
  <c r="C47" i="1"/>
  <c r="N46" i="1"/>
  <c r="M46" i="1"/>
  <c r="L46" i="1"/>
  <c r="K46" i="1"/>
  <c r="H46" i="1"/>
  <c r="F46" i="1"/>
  <c r="E46" i="1"/>
  <c r="D46" i="1"/>
  <c r="C46" i="1"/>
  <c r="N45" i="1"/>
  <c r="M45" i="1"/>
  <c r="L45" i="1"/>
  <c r="K45" i="1"/>
  <c r="H45" i="1"/>
  <c r="F45" i="1"/>
  <c r="E45" i="1"/>
  <c r="D45" i="1"/>
  <c r="C45" i="1"/>
  <c r="N44" i="1"/>
  <c r="M44" i="1"/>
  <c r="L44" i="1"/>
  <c r="K44" i="1"/>
  <c r="H44" i="1"/>
  <c r="F44" i="1"/>
  <c r="E44" i="1"/>
  <c r="D44" i="1"/>
  <c r="C44" i="1"/>
  <c r="N43" i="1"/>
  <c r="M43" i="1"/>
  <c r="L43" i="1"/>
  <c r="K43" i="1"/>
  <c r="H43" i="1"/>
  <c r="F43" i="1"/>
  <c r="E43" i="1"/>
  <c r="D43" i="1"/>
  <c r="C43" i="1"/>
  <c r="N42" i="1"/>
  <c r="M42" i="1"/>
  <c r="L42" i="1"/>
  <c r="K42" i="1"/>
  <c r="H42" i="1"/>
  <c r="F42" i="1"/>
  <c r="E42" i="1"/>
  <c r="D42" i="1"/>
  <c r="C42" i="1"/>
  <c r="N41" i="1"/>
  <c r="M41" i="1"/>
  <c r="L41" i="1"/>
  <c r="K41" i="1"/>
  <c r="H41" i="1"/>
  <c r="F41" i="1"/>
  <c r="E41" i="1"/>
  <c r="D41" i="1"/>
  <c r="C41" i="1"/>
  <c r="N40" i="1"/>
  <c r="M40" i="1"/>
  <c r="L40" i="1"/>
  <c r="K40" i="1"/>
  <c r="H40" i="1"/>
  <c r="F40" i="1"/>
  <c r="E40" i="1"/>
  <c r="D40" i="1"/>
  <c r="C40" i="1"/>
  <c r="N39" i="1"/>
  <c r="M39" i="1"/>
  <c r="L39" i="1"/>
  <c r="K39" i="1"/>
  <c r="H39" i="1"/>
  <c r="F39" i="1"/>
  <c r="E39" i="1"/>
  <c r="D39" i="1"/>
  <c r="C39" i="1"/>
  <c r="N38" i="1"/>
  <c r="M38" i="1"/>
  <c r="L38" i="1"/>
  <c r="K38" i="1"/>
  <c r="H38" i="1"/>
  <c r="F38" i="1"/>
  <c r="E38" i="1"/>
  <c r="D38" i="1"/>
  <c r="C38" i="1"/>
  <c r="N37" i="1"/>
  <c r="M37" i="1"/>
  <c r="L37" i="1"/>
  <c r="K37" i="1"/>
  <c r="H37" i="1"/>
  <c r="F37" i="1"/>
  <c r="E37" i="1"/>
  <c r="D37" i="1"/>
  <c r="C37" i="1"/>
  <c r="N36" i="1"/>
  <c r="M36" i="1"/>
  <c r="L36" i="1"/>
  <c r="K36" i="1"/>
  <c r="H36" i="1"/>
  <c r="F36" i="1"/>
  <c r="E36" i="1"/>
  <c r="D36" i="1"/>
  <c r="C36" i="1"/>
  <c r="N35" i="1"/>
  <c r="M35" i="1"/>
  <c r="L35" i="1"/>
  <c r="K35" i="1"/>
  <c r="H35" i="1"/>
  <c r="F35" i="1"/>
  <c r="E35" i="1"/>
  <c r="D35" i="1"/>
  <c r="C35" i="1"/>
  <c r="N34" i="1"/>
  <c r="M34" i="1"/>
  <c r="L34" i="1"/>
  <c r="K34" i="1"/>
  <c r="H34" i="1"/>
  <c r="F34" i="1"/>
  <c r="E34" i="1"/>
  <c r="D34" i="1"/>
  <c r="C34" i="1"/>
  <c r="N33" i="1"/>
  <c r="M33" i="1"/>
  <c r="L33" i="1"/>
  <c r="K33" i="1"/>
  <c r="H33" i="1"/>
  <c r="F33" i="1"/>
  <c r="E33" i="1"/>
  <c r="D33" i="1"/>
  <c r="C33" i="1"/>
  <c r="N32" i="1"/>
  <c r="M32" i="1"/>
  <c r="L32" i="1"/>
  <c r="K32" i="1"/>
  <c r="H32" i="1"/>
  <c r="F32" i="1"/>
  <c r="E32" i="1"/>
  <c r="D32" i="1"/>
  <c r="C32" i="1"/>
  <c r="N31" i="1"/>
  <c r="M31" i="1"/>
  <c r="L31" i="1"/>
  <c r="K31" i="1"/>
  <c r="H31" i="1"/>
  <c r="F31" i="1"/>
  <c r="E31" i="1"/>
  <c r="D31" i="1"/>
  <c r="C31" i="1"/>
  <c r="N30" i="1"/>
  <c r="M30" i="1"/>
  <c r="L30" i="1"/>
  <c r="K30" i="1"/>
  <c r="H30" i="1"/>
  <c r="F30" i="1"/>
  <c r="E30" i="1"/>
  <c r="D30" i="1"/>
  <c r="C30" i="1"/>
  <c r="Q30" i="1"/>
  <c r="P30" i="1"/>
  <c r="R30" i="1"/>
  <c r="N29" i="1"/>
  <c r="M29" i="1"/>
  <c r="L29" i="1"/>
  <c r="K29" i="1"/>
  <c r="H29" i="1"/>
  <c r="F29" i="1"/>
  <c r="E29" i="1"/>
  <c r="D29" i="1"/>
  <c r="C29" i="1"/>
  <c r="N28" i="1"/>
  <c r="M28" i="1"/>
  <c r="L28" i="1"/>
  <c r="K28" i="1"/>
  <c r="H28" i="1"/>
  <c r="F28" i="1"/>
  <c r="E28" i="1"/>
  <c r="D28" i="1"/>
  <c r="C28" i="1"/>
  <c r="N27" i="1"/>
  <c r="M27" i="1"/>
  <c r="L27" i="1"/>
  <c r="K27" i="1"/>
  <c r="H27" i="1"/>
  <c r="F27" i="1"/>
  <c r="E27" i="1"/>
  <c r="D27" i="1"/>
  <c r="C27" i="1"/>
  <c r="N26" i="1"/>
  <c r="M26" i="1"/>
  <c r="L26" i="1"/>
  <c r="K26" i="1"/>
  <c r="H26" i="1"/>
  <c r="F26" i="1"/>
  <c r="E26" i="1"/>
  <c r="D26" i="1"/>
  <c r="C26" i="1"/>
  <c r="N25" i="1"/>
  <c r="M25" i="1"/>
  <c r="L25" i="1"/>
  <c r="K25" i="1"/>
  <c r="H25" i="1"/>
  <c r="F25" i="1"/>
  <c r="E25" i="1"/>
  <c r="D25" i="1"/>
  <c r="C25" i="1"/>
  <c r="N24" i="1"/>
  <c r="M24" i="1"/>
  <c r="L24" i="1"/>
  <c r="K24" i="1"/>
  <c r="H24" i="1"/>
  <c r="F24" i="1"/>
  <c r="E24" i="1"/>
  <c r="D24" i="1"/>
  <c r="C24" i="1"/>
  <c r="N23" i="1"/>
  <c r="M23" i="1"/>
  <c r="L23" i="1"/>
  <c r="K23" i="1"/>
  <c r="H23" i="1"/>
  <c r="F23" i="1"/>
  <c r="E23" i="1"/>
  <c r="D23" i="1"/>
  <c r="C23" i="1"/>
  <c r="R29" i="1"/>
  <c r="Q28" i="1"/>
  <c r="P28" i="1"/>
  <c r="R27" i="1"/>
  <c r="Q26" i="1"/>
  <c r="P26" i="1"/>
  <c r="R25" i="1"/>
  <c r="Q24" i="1"/>
  <c r="P24" i="1"/>
  <c r="R23" i="1"/>
  <c r="P23" i="1"/>
  <c r="R24" i="1"/>
  <c r="P25" i="1"/>
  <c r="R26" i="1"/>
  <c r="P27" i="1"/>
  <c r="R28" i="1"/>
  <c r="P29" i="1"/>
  <c r="Q23" i="1"/>
  <c r="Q25" i="1"/>
  <c r="Q27" i="1"/>
  <c r="Q29" i="1"/>
  <c r="N22" i="1"/>
  <c r="M22" i="1"/>
  <c r="L22" i="1"/>
  <c r="K22" i="1"/>
  <c r="H22" i="1"/>
  <c r="F22" i="1"/>
  <c r="E22" i="1"/>
  <c r="D22" i="1"/>
  <c r="C22" i="1"/>
  <c r="P22" i="1"/>
  <c r="Q22" i="1"/>
  <c r="R22" i="1"/>
  <c r="N7" i="1"/>
  <c r="M7" i="1"/>
  <c r="L7" i="1"/>
  <c r="K7" i="1"/>
  <c r="H7" i="1"/>
  <c r="F7" i="1"/>
  <c r="E7" i="1"/>
  <c r="D7" i="1"/>
  <c r="C7" i="1"/>
  <c r="N6" i="1"/>
  <c r="M6" i="1"/>
  <c r="L6" i="1"/>
  <c r="K6" i="1"/>
  <c r="P6" i="1"/>
  <c r="H6" i="1"/>
  <c r="F6" i="1"/>
  <c r="E6" i="1"/>
  <c r="D6" i="1"/>
  <c r="C6" i="1"/>
  <c r="R7" i="1"/>
  <c r="Q6" i="1"/>
  <c r="R6" i="1"/>
  <c r="P7" i="1"/>
  <c r="Q7" i="1"/>
  <c r="N5" i="1"/>
  <c r="M5" i="1"/>
  <c r="L5" i="1"/>
  <c r="K5" i="1"/>
  <c r="H5" i="1"/>
  <c r="F5" i="1"/>
  <c r="E5" i="1"/>
  <c r="D5" i="1"/>
  <c r="C5" i="1"/>
  <c r="R5" i="1"/>
  <c r="P5" i="1"/>
  <c r="Q5" i="1"/>
  <c r="N21" i="1"/>
  <c r="M21" i="1"/>
  <c r="L21" i="1"/>
  <c r="K21" i="1"/>
  <c r="H21" i="1"/>
  <c r="F21" i="1"/>
  <c r="E21" i="1"/>
  <c r="D21" i="1"/>
  <c r="C21" i="1"/>
  <c r="N20" i="1"/>
  <c r="M20" i="1"/>
  <c r="L20" i="1"/>
  <c r="K20" i="1"/>
  <c r="H20" i="1"/>
  <c r="F20" i="1"/>
  <c r="E20" i="1"/>
  <c r="D20" i="1"/>
  <c r="C20" i="1"/>
  <c r="N19" i="1"/>
  <c r="M19" i="1"/>
  <c r="L19" i="1"/>
  <c r="K19" i="1"/>
  <c r="H19" i="1"/>
  <c r="F19" i="1"/>
  <c r="E19" i="1"/>
  <c r="D19" i="1"/>
  <c r="C19" i="1"/>
  <c r="N18" i="1"/>
  <c r="M18" i="1"/>
  <c r="L18" i="1"/>
  <c r="K18" i="1"/>
  <c r="H18" i="1"/>
  <c r="F18" i="1"/>
  <c r="E18" i="1"/>
  <c r="D18" i="1"/>
  <c r="C18" i="1"/>
  <c r="N17" i="1"/>
  <c r="M17" i="1"/>
  <c r="L17" i="1"/>
  <c r="K17" i="1"/>
  <c r="H17" i="1"/>
  <c r="F17" i="1"/>
  <c r="E17" i="1"/>
  <c r="D17" i="1"/>
  <c r="C17" i="1"/>
  <c r="N16" i="1"/>
  <c r="M16" i="1"/>
  <c r="L16" i="1"/>
  <c r="K16" i="1"/>
  <c r="H16" i="1"/>
  <c r="F16" i="1"/>
  <c r="E16" i="1"/>
  <c r="D16" i="1"/>
  <c r="C16" i="1"/>
  <c r="N15" i="1"/>
  <c r="M15" i="1"/>
  <c r="L15" i="1"/>
  <c r="K15" i="1"/>
  <c r="H15" i="1"/>
  <c r="F15" i="1"/>
  <c r="E15" i="1"/>
  <c r="D15" i="1"/>
  <c r="C15" i="1"/>
  <c r="N14" i="1"/>
  <c r="M14" i="1"/>
  <c r="L14" i="1"/>
  <c r="K14" i="1"/>
  <c r="H14" i="1"/>
  <c r="F14" i="1"/>
  <c r="E14" i="1"/>
  <c r="D14" i="1"/>
  <c r="C14" i="1"/>
  <c r="N13" i="1"/>
  <c r="M13" i="1"/>
  <c r="L13" i="1"/>
  <c r="K13" i="1"/>
  <c r="H13" i="1"/>
  <c r="F13" i="1"/>
  <c r="E13" i="1"/>
  <c r="D13" i="1"/>
  <c r="C13" i="1"/>
  <c r="N12" i="1"/>
  <c r="M12" i="1"/>
  <c r="L12" i="1"/>
  <c r="K12" i="1"/>
  <c r="H12" i="1"/>
  <c r="F12" i="1"/>
  <c r="E12" i="1"/>
  <c r="D12" i="1"/>
  <c r="C12" i="1"/>
  <c r="N11" i="1"/>
  <c r="M11" i="1"/>
  <c r="L11" i="1"/>
  <c r="K11" i="1"/>
  <c r="H11" i="1"/>
  <c r="F11" i="1"/>
  <c r="E11" i="1"/>
  <c r="D11" i="1"/>
  <c r="C11" i="1"/>
  <c r="N10" i="1"/>
  <c r="M10" i="1"/>
  <c r="L10" i="1"/>
  <c r="K10" i="1"/>
  <c r="H10" i="1"/>
  <c r="F10" i="1"/>
  <c r="E10" i="1"/>
  <c r="D10" i="1"/>
  <c r="C10" i="1"/>
  <c r="N9" i="1"/>
  <c r="M9" i="1"/>
  <c r="L9" i="1"/>
  <c r="K9" i="1"/>
  <c r="H9" i="1"/>
  <c r="F9" i="1"/>
  <c r="E9" i="1"/>
  <c r="D9" i="1"/>
  <c r="C9" i="1"/>
  <c r="N8" i="1"/>
  <c r="M8" i="1"/>
  <c r="L8" i="1"/>
  <c r="K8" i="1"/>
  <c r="H8" i="1"/>
  <c r="F8" i="1"/>
  <c r="E8" i="1"/>
  <c r="D8" i="1"/>
  <c r="C8" i="1"/>
  <c r="N4" i="1"/>
  <c r="M4" i="1"/>
  <c r="L4" i="1"/>
  <c r="K4" i="1"/>
  <c r="H4" i="1"/>
  <c r="F4" i="1"/>
  <c r="E4" i="1"/>
  <c r="D4" i="1"/>
  <c r="C4" i="1"/>
  <c r="N3" i="1"/>
  <c r="M3" i="1"/>
  <c r="L3" i="1"/>
  <c r="K3" i="1"/>
  <c r="H3" i="1"/>
  <c r="F3" i="1"/>
  <c r="E3" i="1"/>
  <c r="D3" i="1"/>
  <c r="C3" i="1"/>
  <c r="R21" i="1"/>
  <c r="P20" i="1"/>
  <c r="R19" i="1"/>
  <c r="P18" i="1"/>
  <c r="R17" i="1"/>
  <c r="Q16" i="1"/>
  <c r="P16" i="1"/>
  <c r="R15" i="1"/>
  <c r="P14" i="1"/>
  <c r="R13" i="1"/>
  <c r="P12" i="1"/>
  <c r="R11" i="1"/>
  <c r="P10" i="1"/>
  <c r="R9" i="1"/>
  <c r="Q8" i="1"/>
  <c r="P8" i="1"/>
  <c r="P4" i="1"/>
  <c r="R3" i="1"/>
  <c r="N2" i="1"/>
  <c r="M2" i="1"/>
  <c r="L2" i="1"/>
  <c r="K2" i="1"/>
  <c r="H2" i="1"/>
  <c r="F2" i="1"/>
  <c r="E2" i="1"/>
  <c r="D2" i="1"/>
  <c r="C2" i="1"/>
  <c r="Q4" i="1"/>
  <c r="Q12" i="1"/>
  <c r="Q20" i="1"/>
  <c r="Q14" i="1"/>
  <c r="Q10" i="1"/>
  <c r="Q18" i="1"/>
  <c r="P3" i="1"/>
  <c r="R4" i="1"/>
  <c r="R8" i="1"/>
  <c r="P9" i="1"/>
  <c r="R10" i="1"/>
  <c r="P11" i="1"/>
  <c r="R12" i="1"/>
  <c r="P13" i="1"/>
  <c r="R14" i="1"/>
  <c r="P15" i="1"/>
  <c r="R16" i="1"/>
  <c r="P17" i="1"/>
  <c r="R18" i="1"/>
  <c r="P19" i="1"/>
  <c r="R20" i="1"/>
  <c r="P21" i="1"/>
  <c r="Q3" i="1"/>
  <c r="Q9" i="1"/>
  <c r="Q11" i="1"/>
  <c r="Q13" i="1"/>
  <c r="Q15" i="1"/>
  <c r="Q17" i="1"/>
  <c r="Q19" i="1"/>
  <c r="Q21" i="1"/>
  <c r="P2" i="1"/>
  <c r="R2" i="1"/>
  <c r="I65" i="1"/>
  <c r="R65" i="1"/>
  <c r="P65" i="1"/>
  <c r="Q65" i="1"/>
  <c r="S65" i="1"/>
  <c r="P66" i="1"/>
</calcChain>
</file>

<file path=xl/sharedStrings.xml><?xml version="1.0" encoding="utf-8"?>
<sst xmlns="http://schemas.openxmlformats.org/spreadsheetml/2006/main" count="80" uniqueCount="24">
  <si>
    <t>Numero de Proceso</t>
  </si>
  <si>
    <t>Tipo de Proceso</t>
  </si>
  <si>
    <t>Demandante (s)</t>
  </si>
  <si>
    <t>Demandados</t>
  </si>
  <si>
    <t>VALOR DE LA 
PRETENSION AJUSTADA</t>
  </si>
  <si>
    <t>Fecha potencial fallo</t>
  </si>
  <si>
    <t>Ultima Actuación procesal</t>
  </si>
  <si>
    <t xml:space="preserve">OBSERVACION </t>
  </si>
  <si>
    <t>#</t>
  </si>
  <si>
    <t>TOTAL</t>
  </si>
  <si>
    <t>APODERADO</t>
  </si>
  <si>
    <t>FECHA ADMISIÓN DEMANDA</t>
  </si>
  <si>
    <t>REGISTRO DE PRETENSIÓN (*)</t>
  </si>
  <si>
    <t>JORGE ANDRES MARIÑO (74187521)</t>
  </si>
  <si>
    <t>RODRIGUEZ GARCIA JAIME ALBERTO (19312759)</t>
  </si>
  <si>
    <t>MIGUEL ANGEL DAZA SILVA (1118537151)</t>
  </si>
  <si>
    <t>No se registra</t>
  </si>
  <si>
    <t>Provisión contable</t>
  </si>
  <si>
    <t>Cuentas de orden</t>
  </si>
  <si>
    <t>Despacho</t>
  </si>
  <si>
    <t># Identificacion</t>
  </si>
  <si>
    <t>LUPITA GRANADOS CHAPARRO (51846043)</t>
  </si>
  <si>
    <t>Valores Totales</t>
  </si>
  <si>
    <r>
      <t xml:space="preserve">(*) </t>
    </r>
    <r>
      <rPr>
        <b/>
        <i/>
        <sz val="10"/>
        <color theme="2" tint="-0.499984740745262"/>
        <rFont val="Calibri"/>
        <family val="2"/>
        <scheme val="minor"/>
      </rPr>
      <t>PROVISIÓN CONTABLE</t>
    </r>
    <r>
      <rPr>
        <i/>
        <sz val="10"/>
        <color theme="2" tint="-0.499984740745262"/>
        <rFont val="Calibri"/>
        <family val="2"/>
        <scheme val="minor"/>
      </rPr>
      <t xml:space="preserve">: obligación que se deriva de las actuaciones propias de la entidad que constituyen pasivos sobre los que existe incertidumbre acerca de su cuantía o vencimiento. Se encuentra prevista en el artículo 1° de la Ley 448 de 1998.
(*) </t>
    </r>
    <r>
      <rPr>
        <b/>
        <i/>
        <sz val="10"/>
        <color theme="2" tint="-0.499984740745262"/>
        <rFont val="Calibri"/>
        <family val="2"/>
        <scheme val="minor"/>
      </rPr>
      <t>CUENTAS DE ORDEN</t>
    </r>
    <r>
      <rPr>
        <i/>
        <sz val="10"/>
        <color theme="2" tint="-0.499984740745262"/>
        <rFont val="Calibri"/>
        <family val="2"/>
        <scheme val="minor"/>
      </rPr>
      <t>: cuentas destinadas a ingresos o egresos de la entidad sobre hechos frente a los que no hay seguridad de su cumplimiento.
(*) Para el cálculo de las provisiones se empleó el IPC del mes inmediatamente anterior a la fecha de elaboración del informe, toda vez que será siempre el último IPC certificado por el DANE. Es decir, el mes de Septiembre de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</si>
</sst>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&quot;$&quot;* #,##0_-;\-&quot;$&quot;* #,##0_-;_-&quot;$&quot;* &quot;-&quot;_-;_-@_-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2" tint="-0.749992370372631"/>
      <name val="Calibri"/>
      <family val="2"/>
      <scheme val="minor"/>
    </font>
    <font>
      <i/>
      <sz val="10"/>
      <color theme="2" tint="-0.499984740745262"/>
      <name val="Calibri"/>
      <family val="2"/>
      <scheme val="minor"/>
    </font>
    <font>
      <b/>
      <i/>
      <sz val="10"/>
      <color theme="2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3">
    <xf numFmtId="0" fontId="0" fillId="0" borderId="0"/>
    <xf numFmtId="41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vertical="top"/>
    </xf>
    <xf numFmtId="0" fontId="4" fillId="2" borderId="3" xfId="0" applyFont="1" applyFill="1" applyBorder="1" applyAlignment="1">
      <alignment wrapText="1"/>
    </xf>
    <xf numFmtId="164" fontId="4" fillId="2" borderId="3" xfId="0" applyNumberFormat="1" applyFont="1" applyFill="1" applyBorder="1" applyAlignment="1">
      <alignment horizontal="right" wrapText="1"/>
    </xf>
    <xf numFmtId="14" fontId="4" fillId="2" borderId="3" xfId="0" applyNumberFormat="1" applyFont="1" applyFill="1" applyBorder="1" applyAlignment="1">
      <alignment wrapText="1"/>
    </xf>
    <xf numFmtId="41" fontId="2" fillId="2" borderId="0" xfId="1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right" wrapText="1"/>
    </xf>
    <xf numFmtId="14" fontId="4" fillId="2" borderId="1" xfId="0" applyNumberFormat="1" applyFont="1" applyFill="1" applyBorder="1" applyAlignment="1">
      <alignment wrapText="1"/>
    </xf>
    <xf numFmtId="164" fontId="2" fillId="0" borderId="0" xfId="2" applyFont="1" applyAlignment="1">
      <alignment wrapText="1"/>
    </xf>
    <xf numFmtId="164" fontId="2" fillId="0" borderId="0" xfId="0" applyNumberFormat="1" applyFont="1" applyAlignment="1">
      <alignment wrapText="1"/>
    </xf>
    <xf numFmtId="0" fontId="4" fillId="2" borderId="0" xfId="0" applyFont="1" applyFill="1" applyBorder="1" applyAlignment="1">
      <alignment wrapText="1"/>
    </xf>
    <xf numFmtId="14" fontId="4" fillId="2" borderId="0" xfId="0" applyNumberFormat="1" applyFont="1" applyFill="1" applyBorder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2" fillId="2" borderId="0" xfId="0" applyNumberFormat="1" applyFont="1" applyFill="1" applyAlignment="1">
      <alignment wrapText="1"/>
    </xf>
    <xf numFmtId="0" fontId="5" fillId="0" borderId="0" xfId="0" applyFont="1" applyAlignment="1">
      <alignment horizontal="left" vertical="top" wrapText="1"/>
    </xf>
    <xf numFmtId="164" fontId="4" fillId="2" borderId="0" xfId="0" applyNumberFormat="1" applyFont="1" applyFill="1" applyBorder="1" applyAlignment="1">
      <alignment horizontal="right" wrapText="1"/>
    </xf>
    <xf numFmtId="164" fontId="4" fillId="2" borderId="5" xfId="0" applyNumberFormat="1" applyFont="1" applyFill="1" applyBorder="1" applyAlignment="1">
      <alignment horizontal="right" wrapText="1"/>
    </xf>
    <xf numFmtId="164" fontId="11" fillId="2" borderId="4" xfId="0" applyNumberFormat="1" applyFont="1" applyFill="1" applyBorder="1" applyAlignment="1">
      <alignment horizontal="right" wrapText="1"/>
    </xf>
    <xf numFmtId="164" fontId="9" fillId="4" borderId="11" xfId="0" applyNumberFormat="1" applyFont="1" applyFill="1" applyBorder="1" applyAlignment="1">
      <alignment wrapText="1"/>
    </xf>
    <xf numFmtId="164" fontId="9" fillId="4" borderId="13" xfId="0" applyNumberFormat="1" applyFont="1" applyFill="1" applyBorder="1" applyAlignment="1">
      <alignment wrapText="1"/>
    </xf>
    <xf numFmtId="164" fontId="10" fillId="4" borderId="16" xfId="0" applyNumberFormat="1" applyFont="1" applyFill="1" applyBorder="1" applyAlignment="1">
      <alignment horizontal="right" wrapText="1"/>
    </xf>
    <xf numFmtId="0" fontId="12" fillId="2" borderId="7" xfId="0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8" fillId="2" borderId="10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1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15" xfId="0" applyFont="1" applyBorder="1" applyAlignment="1">
      <alignment horizontal="left" wrapText="1"/>
    </xf>
  </cellXfs>
  <cellStyles count="3">
    <cellStyle name="Millares [0]" xfId="1" builtinId="6"/>
    <cellStyle name="Moneda [0]" xfId="2" builtinId="7"/>
    <cellStyle name="Normal" xfId="0" builtinId="0"/>
  </cellStyles>
  <dxfs count="99"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5" Type="http://schemas.openxmlformats.org/officeDocument/2006/relationships/externalLink" Target="externalLinks/externalLink3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RES/2016%20-%2010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ANDRES/2014%20-%2024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ANDRES/2014%20-%2023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ANDRES/2014%20-%202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ANDRES/2014%20-%20186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ANDRES/2014%20-%2016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ANDRES/2014%20-%200003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ANDRES/2013%20-%2014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ANDRES/2011%20-%2021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ANDRES/2011%20-%200003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ANDRES/2010%20-%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DRES/2016%20-%200004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ANDRES/2008%20-%2000036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JAIME/2017-023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JAIME/2016-219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JAIME/2013-0518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JAIME/2011-0638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JAIME/2010-033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JAIME/2010-012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JAIME/2010-007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JAIME/2007-058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JAIME/2017-039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NDRES/2015%20-%20323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7-%2000027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6-218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6-192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6-%20342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6-%20302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6-%20231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6-%20055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6-%20035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6%20-%2028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5-55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NDRES/2015%20-%20313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5-366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5-345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5-250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5-231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5-138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4-306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4-305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4-197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4-154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4-08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NDRES/2015%20-%20187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7-00217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7-00027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7-00039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MIGUEL/2017-00253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LUPITA/2018-00013-00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LUPITA/2016-00241-00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LUPITA/2016-00212-00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LUPITA/2014-00018-0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ANDRES/2015%20-%2015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ANDRES/2015%20-%2015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ANDRES/2015%20-%203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ANDRES/2014%20-%2024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2016 - 106</v>
          </cell>
        </row>
        <row r="6">
          <cell r="B6" t="str">
            <v>POPULAR</v>
          </cell>
        </row>
        <row r="7">
          <cell r="B7" t="str">
            <v xml:space="preserve">JORGE ENRIQUE PEREZ CACERES </v>
          </cell>
        </row>
        <row r="8">
          <cell r="B8">
            <v>7175536</v>
          </cell>
        </row>
        <row r="9">
          <cell r="B9" t="str">
            <v>INVIAS, CORPORACION, PAZ DE ARIPORO, COROZAL Y MINTRANSPORTE</v>
          </cell>
        </row>
        <row r="10">
          <cell r="B10" t="str">
            <v>CONTESTACION</v>
          </cell>
        </row>
        <row r="11">
          <cell r="B11">
            <v>30779142.696628965</v>
          </cell>
        </row>
        <row r="12">
          <cell r="B12" t="str">
            <v>Provisión contable</v>
          </cell>
        </row>
        <row r="13">
          <cell r="B13">
            <v>42491</v>
          </cell>
        </row>
        <row r="15">
          <cell r="B15">
            <v>43221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2014 - 241</v>
          </cell>
        </row>
        <row r="6">
          <cell r="B6" t="str">
            <v>POPULAR</v>
          </cell>
        </row>
        <row r="7">
          <cell r="B7" t="str">
            <v>PROCURADURIA AMBIENTAL</v>
          </cell>
        </row>
        <row r="8">
          <cell r="B8">
            <v>0</v>
          </cell>
        </row>
        <row r="9">
          <cell r="B9" t="str">
            <v xml:space="preserve">AGUAZUL, CASANARE, ESPA, ACUATODOS Y CORPORACION </v>
          </cell>
        </row>
        <row r="10">
          <cell r="B10" t="str">
            <v xml:space="preserve">APELACION </v>
          </cell>
        </row>
        <row r="11">
          <cell r="B11" t="str">
            <v>NA</v>
          </cell>
        </row>
        <row r="12">
          <cell r="B12" t="str">
            <v>Provisión contable</v>
          </cell>
        </row>
        <row r="13">
          <cell r="B13">
            <v>41913</v>
          </cell>
        </row>
        <row r="15">
          <cell r="B15">
            <v>43008</v>
          </cell>
        </row>
        <row r="20">
          <cell r="A20" t="str">
            <v>EL 21/06/2018 EL CONSEJO DE ESTADO GENERA SENTENCIA DE 2DA INSTANCIA FAVORABLE A LA CORPORACION NOS EXCLUYEN DE LA COFINANCIACION Y MODIFICAN LAS OBLIGACIONES LAS CUALES SON DE ORDEN MISIONAL.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2014 - 230</v>
          </cell>
        </row>
        <row r="6">
          <cell r="B6" t="str">
            <v>POPULAR</v>
          </cell>
        </row>
        <row r="7">
          <cell r="B7" t="str">
            <v>PROCURADURIA AMBIENTAL</v>
          </cell>
        </row>
        <row r="8">
          <cell r="B8">
            <v>830095213</v>
          </cell>
        </row>
        <row r="9">
          <cell r="B9" t="str">
            <v>CASANARE, YOPAL, EAAAY y CORPORACION</v>
          </cell>
        </row>
        <row r="10">
          <cell r="B10" t="str">
            <v xml:space="preserve">PRUEBAS </v>
          </cell>
        </row>
        <row r="11">
          <cell r="B11">
            <v>46014830.349435203</v>
          </cell>
        </row>
        <row r="12">
          <cell r="B12" t="str">
            <v>Provisión contable</v>
          </cell>
        </row>
        <row r="13">
          <cell r="B13">
            <v>41913</v>
          </cell>
        </row>
        <row r="15">
          <cell r="B15">
            <v>43008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2014 - 218</v>
          </cell>
        </row>
        <row r="6">
          <cell r="B6" t="str">
            <v>POPULAR</v>
          </cell>
        </row>
        <row r="7">
          <cell r="B7" t="str">
            <v>PROCURADURIA AMBIENTAL</v>
          </cell>
        </row>
        <row r="8">
          <cell r="B8">
            <v>830095213</v>
          </cell>
        </row>
        <row r="9">
          <cell r="B9" t="str">
            <v>ANLA, CORPORACION, ORUCUE Y PAREX</v>
          </cell>
        </row>
        <row r="10">
          <cell r="B10" t="str">
            <v xml:space="preserve">PRUEBAS </v>
          </cell>
        </row>
        <row r="11">
          <cell r="B11">
            <v>46014830.349435203</v>
          </cell>
        </row>
        <row r="12">
          <cell r="B12" t="str">
            <v>Provisión contable</v>
          </cell>
        </row>
        <row r="13">
          <cell r="B13">
            <v>41852</v>
          </cell>
        </row>
        <row r="15">
          <cell r="B15">
            <v>42947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2014 - 186</v>
          </cell>
        </row>
        <row r="6">
          <cell r="B6" t="str">
            <v>POPULAR</v>
          </cell>
        </row>
        <row r="7">
          <cell r="B7" t="str">
            <v>PROCURADURIA AMBIENTAL</v>
          </cell>
        </row>
        <row r="8">
          <cell r="B8">
            <v>830095213</v>
          </cell>
        </row>
        <row r="9">
          <cell r="B9" t="str">
            <v>ANLA Y CORPORACION</v>
          </cell>
        </row>
        <row r="10">
          <cell r="B10" t="str">
            <v xml:space="preserve">PRUEBAS </v>
          </cell>
        </row>
        <row r="11">
          <cell r="B11">
            <v>37550140.077389672</v>
          </cell>
        </row>
        <row r="12">
          <cell r="B12" t="str">
            <v>Provisión contable</v>
          </cell>
        </row>
        <row r="13">
          <cell r="B13">
            <v>41852</v>
          </cell>
        </row>
        <row r="15">
          <cell r="B15">
            <v>42947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2014 - 162</v>
          </cell>
        </row>
        <row r="6">
          <cell r="B6" t="str">
            <v>POPULAR</v>
          </cell>
        </row>
        <row r="7">
          <cell r="B7" t="str">
            <v>PROCURADURIA AMBIENTAL</v>
          </cell>
        </row>
        <row r="8">
          <cell r="B8">
            <v>830095213</v>
          </cell>
        </row>
        <row r="9">
          <cell r="B9" t="str">
            <v>CORPORACION, CASANARE, TAURAMENA Y OTROS</v>
          </cell>
        </row>
        <row r="10">
          <cell r="B10" t="str">
            <v>PRUEBAS (inspección judicial)</v>
          </cell>
        </row>
        <row r="11">
          <cell r="B11">
            <v>20546303.061213214</v>
          </cell>
        </row>
        <row r="12">
          <cell r="B12" t="str">
            <v>Provisión contable</v>
          </cell>
        </row>
        <row r="13">
          <cell r="B13">
            <v>41852</v>
          </cell>
        </row>
        <row r="15">
          <cell r="B15">
            <v>42947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2014 - 00034</v>
          </cell>
        </row>
        <row r="6">
          <cell r="B6" t="str">
            <v>POPULAR</v>
          </cell>
        </row>
        <row r="7">
          <cell r="B7" t="str">
            <v>PROCURADURIA AMBIENTAL</v>
          </cell>
        </row>
        <row r="8">
          <cell r="B8">
            <v>830095213</v>
          </cell>
        </row>
        <row r="9">
          <cell r="B9" t="str">
            <v>MANI, CASANARE ACUATODOS Y CORPORACION</v>
          </cell>
        </row>
        <row r="10">
          <cell r="B10" t="str">
            <v>PRUEBAS (inspección judicial)</v>
          </cell>
        </row>
        <row r="11">
          <cell r="B11">
            <v>20833173.562400084</v>
          </cell>
        </row>
        <row r="12">
          <cell r="B12" t="str">
            <v>Provisión contable</v>
          </cell>
        </row>
        <row r="13">
          <cell r="B13">
            <v>41699</v>
          </cell>
        </row>
        <row r="15">
          <cell r="B15">
            <v>42794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2013 - 144</v>
          </cell>
        </row>
        <row r="6">
          <cell r="B6" t="str">
            <v>POPULAR</v>
          </cell>
        </row>
        <row r="7">
          <cell r="B7" t="str">
            <v>PROCURADURIA AMBIENTAL</v>
          </cell>
        </row>
        <row r="8">
          <cell r="B8">
            <v>830095213</v>
          </cell>
        </row>
        <row r="9">
          <cell r="B9" t="str">
            <v>CORPORACION, CASANARE, EAAAY Y YOPAL</v>
          </cell>
        </row>
        <row r="10">
          <cell r="B10" t="str">
            <v>APELACION</v>
          </cell>
        </row>
        <row r="11">
          <cell r="B11">
            <v>52321092.519200243</v>
          </cell>
        </row>
        <row r="12">
          <cell r="B12" t="str">
            <v>Provisión contable</v>
          </cell>
        </row>
        <row r="13">
          <cell r="B13">
            <v>41456</v>
          </cell>
        </row>
        <row r="15">
          <cell r="B15">
            <v>41456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2011 - 212</v>
          </cell>
        </row>
        <row r="6">
          <cell r="B6" t="str">
            <v>POPULAR</v>
          </cell>
        </row>
        <row r="7">
          <cell r="B7" t="str">
            <v>GUSTAVO MELO TORRES</v>
          </cell>
        </row>
        <row r="8">
          <cell r="B8">
            <v>4076691</v>
          </cell>
        </row>
        <row r="9">
          <cell r="B9" t="str">
            <v>CORPORINOQUIA, CASANARE Y SABANALARGA</v>
          </cell>
        </row>
        <row r="10">
          <cell r="B10" t="str">
            <v>APELACION</v>
          </cell>
        </row>
        <row r="11">
          <cell r="B11">
            <v>14364160.987754114</v>
          </cell>
        </row>
        <row r="12">
          <cell r="B12" t="str">
            <v>Provisión contable</v>
          </cell>
        </row>
        <row r="13">
          <cell r="B13">
            <v>40909</v>
          </cell>
        </row>
        <row r="15">
          <cell r="B15">
            <v>41639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2011 - 00033</v>
          </cell>
        </row>
        <row r="6">
          <cell r="B6" t="str">
            <v>POPULAR</v>
          </cell>
        </row>
        <row r="7">
          <cell r="B7" t="str">
            <v xml:space="preserve">MARCO JULIO UNIVIO </v>
          </cell>
        </row>
        <row r="8">
          <cell r="B8">
            <v>6748045</v>
          </cell>
        </row>
        <row r="9">
          <cell r="B9" t="str">
            <v xml:space="preserve">CORPORINOQUIA, CASANARE Y YOPAL </v>
          </cell>
        </row>
        <row r="10">
          <cell r="B10" t="str">
            <v>APELACION</v>
          </cell>
        </row>
        <row r="11">
          <cell r="B11">
            <v>25275888.22258769</v>
          </cell>
        </row>
        <row r="12">
          <cell r="B12" t="str">
            <v>Cuentas de orden</v>
          </cell>
        </row>
        <row r="13">
          <cell r="B13">
            <v>42430</v>
          </cell>
        </row>
        <row r="15">
          <cell r="B15">
            <v>43160</v>
          </cell>
        </row>
        <row r="20">
          <cell r="A20" t="str">
            <v>La estamiación de la pretensión peude ser menor o mayor en la medida que el Consejo de Estado lo estime al decidir la apelación.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2010 - 209</v>
          </cell>
        </row>
        <row r="6">
          <cell r="B6" t="str">
            <v>POPULAR</v>
          </cell>
        </row>
        <row r="7">
          <cell r="B7" t="str">
            <v xml:space="preserve">PROCURADURIA AMBIENTAL </v>
          </cell>
        </row>
        <row r="8">
          <cell r="B8">
            <v>830095213</v>
          </cell>
        </row>
        <row r="9">
          <cell r="B9" t="str">
            <v>YOPAL, CORPORACION Y EDGAR TORO SAENZ</v>
          </cell>
        </row>
        <row r="10">
          <cell r="B10" t="str">
            <v>APELACION</v>
          </cell>
        </row>
        <row r="11">
          <cell r="B11">
            <v>10798517.505531024</v>
          </cell>
        </row>
        <row r="12">
          <cell r="B12" t="str">
            <v>Provisión contable</v>
          </cell>
        </row>
        <row r="13">
          <cell r="B13">
            <v>40360</v>
          </cell>
        </row>
        <row r="15">
          <cell r="B15">
            <v>41090</v>
          </cell>
        </row>
        <row r="20">
          <cell r="A20" t="str">
            <v>El 13/11/12 se genera decisión de segunda instancia, en este momento se encuentra en verificación.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2016 - 00041</v>
          </cell>
        </row>
        <row r="6">
          <cell r="B6" t="str">
            <v>POPULAR</v>
          </cell>
        </row>
        <row r="7">
          <cell r="B7" t="str">
            <v>OROMARIO AVELLA</v>
          </cell>
        </row>
        <row r="8">
          <cell r="B8">
            <v>79297507</v>
          </cell>
        </row>
        <row r="9">
          <cell r="B9" t="str">
            <v>YOPAL, MINTRANSPORTE, CORPORACION Y EMPRESAS DE SERVICIOS P.</v>
          </cell>
        </row>
        <row r="10">
          <cell r="B10" t="str">
            <v>CONTESTACION</v>
          </cell>
        </row>
        <row r="11">
          <cell r="B11">
            <v>28500000</v>
          </cell>
        </row>
        <row r="12">
          <cell r="B12" t="str">
            <v>Provisión contable</v>
          </cell>
        </row>
        <row r="13">
          <cell r="B13">
            <v>42401</v>
          </cell>
        </row>
        <row r="15">
          <cell r="B15">
            <v>43131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2008 - 00036</v>
          </cell>
        </row>
        <row r="6">
          <cell r="B6" t="str">
            <v>POPULAR</v>
          </cell>
        </row>
        <row r="7">
          <cell r="B7" t="str">
            <v>HENRY DE DIOS ORTIZ</v>
          </cell>
        </row>
        <row r="8">
          <cell r="B8">
            <v>74862550</v>
          </cell>
        </row>
        <row r="9">
          <cell r="B9" t="str">
            <v>PORE, CORPORACION Y CASANARE</v>
          </cell>
        </row>
        <row r="10">
          <cell r="B10" t="str">
            <v>VERIFICACION SENTENCIA</v>
          </cell>
        </row>
        <row r="11">
          <cell r="B11">
            <v>38578686.151937976</v>
          </cell>
        </row>
        <row r="12">
          <cell r="B12" t="str">
            <v>Cuentas de orden</v>
          </cell>
        </row>
        <row r="13">
          <cell r="B13">
            <v>39508</v>
          </cell>
        </row>
        <row r="15">
          <cell r="B15">
            <v>39508</v>
          </cell>
        </row>
        <row r="20">
          <cell r="A20" t="str">
            <v>Para este caso concreto hay que aclarar que el proceso ya tiene fallo de segunda instancia desde el 13/08/09, y desde esa fecha hasta la actual, el Juzgado viene haciendo verificación de sentencia hasta el archivo del proceso.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2017 - 0235</v>
          </cell>
        </row>
        <row r="6">
          <cell r="B6" t="str">
            <v>REPARACION DIRECTA</v>
          </cell>
        </row>
        <row r="7">
          <cell r="B7" t="str">
            <v>KAROL ANDREA FLOREZ VILLALOBOS Y OTROS</v>
          </cell>
        </row>
        <row r="8">
          <cell r="B8">
            <v>1068973974</v>
          </cell>
        </row>
        <row r="9">
          <cell r="B9" t="str">
            <v>MUNICIPIO DE UBAQUE Y CORPORINOQUIA</v>
          </cell>
        </row>
        <row r="10">
          <cell r="B10" t="str">
            <v>TRASLADO CONTESTACIÓN DEMANDA</v>
          </cell>
        </row>
        <row r="11">
          <cell r="B11">
            <v>351870286.79283828</v>
          </cell>
        </row>
        <row r="12">
          <cell r="B12" t="str">
            <v>Provisión contable</v>
          </cell>
        </row>
        <row r="13">
          <cell r="B13">
            <v>43054</v>
          </cell>
        </row>
        <row r="15">
          <cell r="B15">
            <v>44514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2016 - 02199</v>
          </cell>
        </row>
        <row r="6">
          <cell r="B6" t="str">
            <v>POPULAR</v>
          </cell>
        </row>
        <row r="7">
          <cell r="B7" t="str">
            <v>SAUL CALDERON Y OTROS</v>
          </cell>
        </row>
        <row r="8">
          <cell r="B8">
            <v>3080318</v>
          </cell>
        </row>
        <row r="9">
          <cell r="B9" t="str">
            <v>AGENCIA NACIONAL DE INFRAESTRUCTURA, ANLA Y CORPORINOQUIA .</v>
          </cell>
        </row>
        <row r="10">
          <cell r="B10" t="str">
            <v>CONTESTACIÓN DEMANDA</v>
          </cell>
        </row>
        <row r="11">
          <cell r="B11">
            <v>13247792.312571295</v>
          </cell>
        </row>
        <row r="12">
          <cell r="B12" t="str">
            <v>Cuentas de orden</v>
          </cell>
        </row>
        <row r="13">
          <cell r="B13">
            <v>42702</v>
          </cell>
        </row>
        <row r="15">
          <cell r="B15">
            <v>44162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2013 - 00518</v>
          </cell>
        </row>
        <row r="6">
          <cell r="B6" t="str">
            <v>POPULAR</v>
          </cell>
        </row>
        <row r="7">
          <cell r="B7" t="str">
            <v>ARLEY BERNAL Y OTROS</v>
          </cell>
        </row>
        <row r="8">
          <cell r="B8">
            <v>97613734</v>
          </cell>
        </row>
        <row r="9">
          <cell r="B9" t="str">
            <v>MUNICIPIO DE PUERTO CARREÑO Y CORPORINOQUIA.</v>
          </cell>
        </row>
        <row r="10">
          <cell r="B10" t="str">
            <v>APELACION DE SENTENCIA</v>
          </cell>
        </row>
        <row r="11">
          <cell r="B11">
            <v>9965449.1826916505</v>
          </cell>
        </row>
        <row r="12">
          <cell r="B12" t="str">
            <v>Provisión contable</v>
          </cell>
        </row>
        <row r="13">
          <cell r="B13">
            <v>41617</v>
          </cell>
        </row>
        <row r="15">
          <cell r="B15">
            <v>43564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2011 - 00638</v>
          </cell>
        </row>
        <row r="6">
          <cell r="B6" t="str">
            <v>POPULAR</v>
          </cell>
        </row>
        <row r="7">
          <cell r="B7" t="str">
            <v>VICTOR JULIO SABOGAL</v>
          </cell>
        </row>
        <row r="8">
          <cell r="B8">
            <v>79275933</v>
          </cell>
        </row>
        <row r="9">
          <cell r="B9" t="str">
            <v>CMUNICIPIO DE CHOACHI, CONSTRUCTORA AMADOR S.A.S. Y CORPORINOQUIA.</v>
          </cell>
        </row>
        <row r="10">
          <cell r="B10" t="str">
            <v>AL DESPACHO PARA SENTENCIA</v>
          </cell>
        </row>
        <row r="11">
          <cell r="B11">
            <v>9334215.6317391228</v>
          </cell>
        </row>
        <row r="12">
          <cell r="B12" t="str">
            <v>Cuentas de orden</v>
          </cell>
        </row>
        <row r="13">
          <cell r="B13">
            <v>40953</v>
          </cell>
        </row>
        <row r="15">
          <cell r="B15">
            <v>43508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2010 - 00339</v>
          </cell>
        </row>
        <row r="6">
          <cell r="B6" t="str">
            <v>NULIDAD Y RESTABLECIMIENTO DEL DERECHO</v>
          </cell>
        </row>
        <row r="7">
          <cell r="B7" t="str">
            <v>INGRID MOLLER Y OTROS</v>
          </cell>
        </row>
        <row r="8">
          <cell r="B8">
            <v>41770978</v>
          </cell>
        </row>
        <row r="9">
          <cell r="B9" t="str">
            <v>CORPORINOQUIA.</v>
          </cell>
        </row>
        <row r="10">
          <cell r="B10" t="str">
            <v>APELACIÓN AUTO DE PRUEBAS</v>
          </cell>
        </row>
        <row r="11">
          <cell r="B11">
            <v>131594212.55017407</v>
          </cell>
        </row>
        <row r="12">
          <cell r="B12" t="str">
            <v>Cuentas de orden</v>
          </cell>
        </row>
        <row r="13">
          <cell r="B13">
            <v>40514</v>
          </cell>
        </row>
        <row r="15">
          <cell r="B15">
            <v>43799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2010 - 00121</v>
          </cell>
        </row>
        <row r="6">
          <cell r="B6" t="str">
            <v>POPULAR</v>
          </cell>
        </row>
        <row r="7">
          <cell r="B7" t="str">
            <v>ROSANGELA HERNANDEZ DE IRIGUI Y OTROS</v>
          </cell>
        </row>
        <row r="8">
          <cell r="B8">
            <v>20436694</v>
          </cell>
        </row>
        <row r="9">
          <cell r="B9" t="str">
            <v>MUNICIPIO DE CAQUEZA, DEPARTAMENTO DE CUNDINAMRCA, INGEOMINAS, CORPORINOQUIA Y MINISTERIO DE AMBIENTE Y DESARROLLO.</v>
          </cell>
        </row>
        <row r="10">
          <cell r="B10" t="str">
            <v>VERIFICACIÓN SENTENCIA</v>
          </cell>
        </row>
        <row r="11">
          <cell r="B11">
            <v>164750012.37440142</v>
          </cell>
        </row>
        <row r="12">
          <cell r="B12" t="str">
            <v>Cuentas de orden</v>
          </cell>
        </row>
        <row r="13">
          <cell r="B13">
            <v>40492</v>
          </cell>
        </row>
        <row r="15">
          <cell r="B15">
            <v>41587</v>
          </cell>
        </row>
        <row r="20">
          <cell r="A20" t="str">
            <v>Para este caso concreto hay que aclarar que el proceso ya tiene fallo de segunda instancia desde el 15/08/13, y desde esa fecha hasta la actual, el Juzgado viene haciendo verificación de sentencia.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2010-0078</v>
          </cell>
        </row>
        <row r="6">
          <cell r="B6" t="str">
            <v>POPULAR</v>
          </cell>
        </row>
        <row r="7">
          <cell r="B7" t="str">
            <v>NELSON GERMAN VELASQUEZ PAVON</v>
          </cell>
        </row>
        <row r="8">
          <cell r="B8">
            <v>19418909</v>
          </cell>
        </row>
        <row r="9">
          <cell r="B9" t="str">
            <v>CORPORINOQUIA- MUNICIPIO DE CASANARE Y OTRO</v>
          </cell>
        </row>
        <row r="10">
          <cell r="B10" t="str">
            <v>PRUEBAS</v>
          </cell>
        </row>
        <row r="11">
          <cell r="B11">
            <v>15156889.284752274</v>
          </cell>
        </row>
        <row r="12">
          <cell r="B12" t="str">
            <v>Cuentas de orden</v>
          </cell>
        </row>
        <row r="13">
          <cell r="B13">
            <v>40242</v>
          </cell>
        </row>
        <row r="15">
          <cell r="B15">
            <v>43527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2007-0588</v>
          </cell>
        </row>
        <row r="6">
          <cell r="B6" t="str">
            <v>DE GRUPO</v>
          </cell>
        </row>
        <row r="7">
          <cell r="B7" t="str">
            <v>JOSE ISMAEL HERNANDEZ HERRERA Y OTROS</v>
          </cell>
        </row>
        <row r="8">
          <cell r="B8">
            <v>11405128</v>
          </cell>
        </row>
        <row r="9">
          <cell r="B9" t="str">
            <v>MURILLO LOBO - GERRERO - INGENIEROS -S-A, NACIÓN INSTITUTO NACIONAL DE INVIAS Y CORPORINOQUIA.</v>
          </cell>
        </row>
        <row r="10">
          <cell r="B10" t="str">
            <v>VERIFICACIÓN SENTENCIA</v>
          </cell>
        </row>
        <row r="11">
          <cell r="B11">
            <v>6494488.5386814484</v>
          </cell>
        </row>
        <row r="12">
          <cell r="B12" t="str">
            <v>Cuentas de orden</v>
          </cell>
        </row>
        <row r="13">
          <cell r="B13">
            <v>39393</v>
          </cell>
        </row>
        <row r="15">
          <cell r="B15">
            <v>41218</v>
          </cell>
        </row>
        <row r="20">
          <cell r="A20" t="str">
            <v>Para este caso concreto hay que aclarar que el proceso ya tiene fallo de segunda instancia desde el 24/10/12, fallo que fue en sentido solidario a todos los demandados, motivo por el cual INVIAS pago la totalidad de la condena, para después efectuar el cobro a la Corporación, pero el mencionado cobro fue parcial motivo por el cual a la fecha de hoy queda pendiente por pago a INVIAS la suma de ($14.656.251) M/CTE, para completar el 33,33%, que le corresponde del total de la sentencia.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2017-0398</v>
          </cell>
        </row>
        <row r="6">
          <cell r="B6" t="str">
            <v>REPARACIÓN DIRECTA</v>
          </cell>
        </row>
        <row r="7">
          <cell r="B7" t="str">
            <v xml:space="preserve">ALIX MARIA SANTANDER FLOREZ </v>
          </cell>
        </row>
        <row r="8">
          <cell r="B8">
            <v>33515561</v>
          </cell>
        </row>
        <row r="9">
          <cell r="B9" t="str">
            <v>MUNICIPIO DE CUBARA, CORPORINOQUIA Y DEPARATAMENTO DE BOYACÁ</v>
          </cell>
        </row>
        <row r="10">
          <cell r="B10" t="str">
            <v xml:space="preserve">CONTESTACIÓN DE DEMANDA </v>
          </cell>
        </row>
        <row r="11">
          <cell r="B11">
            <v>1828800000</v>
          </cell>
        </row>
        <row r="12">
          <cell r="B12" t="str">
            <v>Cuentas de orden</v>
          </cell>
        </row>
        <row r="13">
          <cell r="B13">
            <v>42943</v>
          </cell>
        </row>
        <row r="15">
          <cell r="B15">
            <v>43419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2015 - 323</v>
          </cell>
        </row>
        <row r="6">
          <cell r="B6" t="str">
            <v>POPULAR</v>
          </cell>
        </row>
        <row r="7">
          <cell r="B7" t="str">
            <v>PROCURADURIA AMBIENTAL</v>
          </cell>
        </row>
        <row r="8">
          <cell r="B8">
            <v>830095213</v>
          </cell>
        </row>
        <row r="9">
          <cell r="B9" t="str">
            <v>YOPAL Y CORPORACION</v>
          </cell>
        </row>
        <row r="10">
          <cell r="B10" t="str">
            <v>PRUEBAS</v>
          </cell>
        </row>
        <row r="11">
          <cell r="B11">
            <v>30121363.029255234</v>
          </cell>
        </row>
        <row r="12">
          <cell r="B12" t="str">
            <v>Provisión contable</v>
          </cell>
        </row>
        <row r="13">
          <cell r="B13">
            <v>42309</v>
          </cell>
        </row>
        <row r="15">
          <cell r="B15">
            <v>43039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2017-00027</v>
          </cell>
        </row>
        <row r="6">
          <cell r="B6" t="str">
            <v>NULIDAD Y RESTABLECIMIENTO</v>
          </cell>
        </row>
        <row r="7">
          <cell r="B7" t="str">
            <v>MARIA DE LOS ANGELES GALVIS FUENTES</v>
          </cell>
        </row>
        <row r="8">
          <cell r="B8">
            <v>47430596</v>
          </cell>
        </row>
        <row r="9">
          <cell r="B9" t="str">
            <v>CORPORINOQUIA</v>
          </cell>
        </row>
        <row r="10">
          <cell r="B10" t="str">
            <v>CONTESTA DEMANDA</v>
          </cell>
        </row>
        <row r="11">
          <cell r="B11">
            <v>46171045.91138082</v>
          </cell>
        </row>
        <row r="12">
          <cell r="B12" t="str">
            <v>Provisión contable</v>
          </cell>
        </row>
        <row r="13">
          <cell r="B13">
            <v>42908</v>
          </cell>
        </row>
        <row r="15">
          <cell r="B15">
            <v>43638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2016-218</v>
          </cell>
        </row>
        <row r="6">
          <cell r="B6" t="str">
            <v>NULIDAD Y RESTABLECIMIENTO DEL DERECHO</v>
          </cell>
        </row>
        <row r="7">
          <cell r="B7" t="str">
            <v>EMPRESA DE ACUEDUCTO  ALCANTARILLADO Y ASEO DE YOPAL E.A.A.A.Y</v>
          </cell>
        </row>
        <row r="8">
          <cell r="B8">
            <v>8440007554</v>
          </cell>
        </row>
        <row r="9">
          <cell r="B9" t="str">
            <v>CORPORINOQUIA</v>
          </cell>
        </row>
        <row r="10">
          <cell r="B10" t="str">
            <v>CONTESTACIÓN DEMANDA</v>
          </cell>
        </row>
        <row r="11">
          <cell r="B11">
            <v>399603289.32670248</v>
          </cell>
        </row>
        <row r="12">
          <cell r="B12" t="str">
            <v>Cuentas de orden</v>
          </cell>
        </row>
        <row r="13">
          <cell r="B13">
            <v>42654</v>
          </cell>
        </row>
        <row r="15">
          <cell r="B15">
            <v>43749</v>
          </cell>
        </row>
        <row r="20">
          <cell r="A20" t="str">
            <v>EN CASO TAL DE QUE PROSPERE LA DEMANDA NO SE ORDENARIA EL PAGO DE NINGUNA SUMA DE DINERO SINO QUE NO SE COBRE EL VALOR IMPUESTO MEDIANTE SANCION AMBIENTAL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 xml:space="preserve">2016-192 </v>
          </cell>
        </row>
        <row r="6">
          <cell r="B6" t="str">
            <v>NULIDAD Y RESTABLECIMIENTO DEL DERECHO</v>
          </cell>
        </row>
        <row r="7">
          <cell r="B7" t="str">
            <v>GUILLERMO ALARCON MORALES</v>
          </cell>
        </row>
        <row r="8">
          <cell r="B8">
            <v>74754793</v>
          </cell>
        </row>
        <row r="9">
          <cell r="B9" t="str">
            <v>CORPORINOQUIA</v>
          </cell>
        </row>
        <row r="10">
          <cell r="B10" t="str">
            <v>TRASLADO PARA ALEGAR DE CONCLUSIÓN</v>
          </cell>
        </row>
        <row r="11">
          <cell r="B11">
            <v>99975506.207484305</v>
          </cell>
        </row>
        <row r="12">
          <cell r="B12" t="str">
            <v>Cuentas de orden</v>
          </cell>
        </row>
        <row r="13">
          <cell r="B13">
            <v>42643</v>
          </cell>
        </row>
        <row r="15">
          <cell r="B15">
            <v>43738</v>
          </cell>
        </row>
        <row r="20">
          <cell r="A20" t="str">
            <v>EN CASO TAL DE QUE PROSPERE LA DEMANDA NO SE ORDENARIA EL PAGO DE NINGUNA SUMA DE DINERO SINO QUE NO SE COBRE EL VALOR IMPUESTO MEDIANTE SANCION AMBIENTAL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2016-00342</v>
          </cell>
        </row>
        <row r="6">
          <cell r="B6" t="str">
            <v>NULIDAD Y RESTABLECIMIENTO</v>
          </cell>
        </row>
        <row r="7">
          <cell r="B7" t="str">
            <v>MARINA CHAPARRO CHAPARRO</v>
          </cell>
        </row>
        <row r="8">
          <cell r="B8">
            <v>24226191</v>
          </cell>
        </row>
        <row r="9">
          <cell r="B9" t="str">
            <v>CORPORINOQUIA</v>
          </cell>
        </row>
        <row r="10">
          <cell r="B10" t="str">
            <v>CONTESTA DEMANDA</v>
          </cell>
        </row>
        <row r="11">
          <cell r="B11">
            <v>6015363.6629340285</v>
          </cell>
        </row>
        <row r="12">
          <cell r="B12" t="str">
            <v>Provisión contable</v>
          </cell>
        </row>
        <row r="13">
          <cell r="B13">
            <v>43006</v>
          </cell>
        </row>
        <row r="15">
          <cell r="B15">
            <v>43736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2016-302</v>
          </cell>
        </row>
        <row r="6">
          <cell r="B6" t="str">
            <v>NULIDAD Y RESTABLECIMIENTO</v>
          </cell>
        </row>
        <row r="7">
          <cell r="B7" t="str">
            <v>CELTA LTDA</v>
          </cell>
        </row>
        <row r="8">
          <cell r="B8">
            <v>8600250062</v>
          </cell>
        </row>
        <row r="9">
          <cell r="B9" t="str">
            <v>CORPORINOQUIA</v>
          </cell>
        </row>
        <row r="10">
          <cell r="B10" t="str">
            <v>TRASLADO PARA CONTESTAR DEMANDA</v>
          </cell>
        </row>
        <row r="11">
          <cell r="B11">
            <v>32487725.799929351</v>
          </cell>
        </row>
        <row r="12">
          <cell r="B12" t="str">
            <v>Cuentas de orden</v>
          </cell>
        </row>
        <row r="13">
          <cell r="B13">
            <v>42692</v>
          </cell>
        </row>
        <row r="15">
          <cell r="B15">
            <v>43422</v>
          </cell>
        </row>
        <row r="20">
          <cell r="A20" t="str">
            <v>Se pretende la nulidad de un acto administrativo que no fue expedido por la Corporacion, de tal forma que no genera carga economia para la Corporacion.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2016-231</v>
          </cell>
        </row>
        <row r="6">
          <cell r="B6" t="str">
            <v>NULIDAD SIMPLE</v>
          </cell>
        </row>
        <row r="7">
          <cell r="B7" t="str">
            <v>EDUARDO ALBERTO PELAEZ MESA</v>
          </cell>
        </row>
        <row r="8">
          <cell r="B8">
            <v>9526997</v>
          </cell>
        </row>
        <row r="9">
          <cell r="B9" t="str">
            <v>CORPORINOQUIA</v>
          </cell>
        </row>
        <row r="10">
          <cell r="B10" t="str">
            <v>CONTESTACIÓN DEMANDA</v>
          </cell>
        </row>
        <row r="11">
          <cell r="B11">
            <v>0</v>
          </cell>
        </row>
        <row r="12">
          <cell r="B12" t="str">
            <v>Cuentas de orden</v>
          </cell>
        </row>
        <row r="13">
          <cell r="B13">
            <v>42642</v>
          </cell>
        </row>
        <row r="15">
          <cell r="B15">
            <v>43372</v>
          </cell>
        </row>
        <row r="20">
          <cell r="A20" t="str">
            <v>Se pretende la nulidad de un acto administrativo que no fue expedido por la Corporacion, de tal forma que no genera carga economia para la Corporacion.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2016-055</v>
          </cell>
        </row>
        <row r="6">
          <cell r="B6" t="str">
            <v>REPARACION DIRECTA</v>
          </cell>
        </row>
        <row r="7">
          <cell r="B7" t="str">
            <v>52421392 RUIZ CALA SILVIA LILIANA - 78692552 CORONADO OSORIO MANUEL FRANCISCO - 5541105 RUIZ GONZALEZ RAMIRO</v>
          </cell>
        </row>
        <row r="8">
          <cell r="B8">
            <v>52421392</v>
          </cell>
        </row>
        <row r="9">
          <cell r="B9" t="str">
            <v>CORPORINOQUIA</v>
          </cell>
        </row>
        <row r="10">
          <cell r="B10" t="str">
            <v>SE LLEVO A CABO AUDIENCIA INICIAL</v>
          </cell>
        </row>
        <row r="11">
          <cell r="B11">
            <v>565331885.91498888</v>
          </cell>
        </row>
        <row r="12">
          <cell r="B12" t="str">
            <v>Cuentas de orden</v>
          </cell>
        </row>
        <row r="13">
          <cell r="B13">
            <v>42474</v>
          </cell>
        </row>
        <row r="15">
          <cell r="B15">
            <v>43204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2016-035</v>
          </cell>
        </row>
        <row r="6">
          <cell r="B6" t="str">
            <v>NULIDAD Y RESTABLECIMIENTO DEL DERECHO</v>
          </cell>
        </row>
        <row r="7">
          <cell r="B7" t="str">
            <v>AMANDA AVILA</v>
          </cell>
        </row>
        <row r="8">
          <cell r="B8">
            <v>47434339</v>
          </cell>
        </row>
        <row r="9">
          <cell r="B9" t="str">
            <v>CORPORINOQUIA</v>
          </cell>
        </row>
        <row r="10">
          <cell r="B10" t="str">
            <v>CONTESTA DEMANDA</v>
          </cell>
        </row>
        <row r="11">
          <cell r="B11">
            <v>13542264.577064767</v>
          </cell>
        </row>
        <row r="12">
          <cell r="B12" t="str">
            <v>Provisión contable</v>
          </cell>
        </row>
        <row r="13">
          <cell r="B13">
            <v>42510</v>
          </cell>
        </row>
        <row r="15">
          <cell r="B15">
            <v>43605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2016- 289</v>
          </cell>
        </row>
        <row r="6">
          <cell r="B6" t="str">
            <v>POPULAR</v>
          </cell>
        </row>
        <row r="7">
          <cell r="B7" t="str">
            <v>PERSONERIA DE PAZ DE ARIPORO</v>
          </cell>
        </row>
        <row r="8">
          <cell r="B8">
            <v>8001036598</v>
          </cell>
        </row>
        <row r="9">
          <cell r="B9" t="str">
            <v>CASANARE, CORPORACION, ANM, PEÑALON LTDA Y OTROS</v>
          </cell>
        </row>
        <row r="10">
          <cell r="B10" t="str">
            <v>CONTESTACION</v>
          </cell>
        </row>
        <row r="11">
          <cell r="B11">
            <v>30651963.410786089</v>
          </cell>
        </row>
        <row r="12">
          <cell r="B12" t="str">
            <v>Cuentas de orden</v>
          </cell>
        </row>
        <row r="13">
          <cell r="B13">
            <v>42747</v>
          </cell>
        </row>
        <row r="15">
          <cell r="B15">
            <v>43842</v>
          </cell>
        </row>
        <row r="20">
          <cell r="A20" t="str">
            <v>La contestación de la demanda se hizo el día 26 de enero de 2017.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2015-559</v>
          </cell>
        </row>
        <row r="6">
          <cell r="B6" t="str">
            <v>NULIDAD Y RESTABLECIMIENTO DEL DERECHO</v>
          </cell>
        </row>
        <row r="7">
          <cell r="B7" t="str">
            <v>74343272 OSORIO LEON FILIBERTO - 74343176 LEON  BERNABE</v>
          </cell>
        </row>
        <row r="8">
          <cell r="B8">
            <v>74343272</v>
          </cell>
        </row>
        <row r="9">
          <cell r="B9" t="str">
            <v>CORPORINOQUIA</v>
          </cell>
        </row>
        <row r="10">
          <cell r="B10" t="str">
            <v>CONTESTACION DE LA DEMANDA</v>
          </cell>
        </row>
        <row r="11">
          <cell r="B11">
            <v>2217863.4009351949</v>
          </cell>
        </row>
        <row r="12">
          <cell r="B12" t="str">
            <v>Cuentas de orden</v>
          </cell>
        </row>
        <row r="13">
          <cell r="B13">
            <v>42405</v>
          </cell>
        </row>
        <row r="15">
          <cell r="B15">
            <v>43500</v>
          </cell>
        </row>
        <row r="20">
          <cell r="A20" t="str">
            <v xml:space="preserve">En caso tal de perder el proceso se ordenaría principalmente una obligación de hacer, ahora el Juez o Magistrado puede considerar que existieron unos perjuicios que se deben cancelar y que fueron calculados, sin embargo la posibilidad de que el juez llegue a condenar al pago de unos perjuicios es muy baja, casi que nula  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2015 - 313</v>
          </cell>
        </row>
        <row r="6">
          <cell r="B6" t="str">
            <v>POPULAR</v>
          </cell>
        </row>
        <row r="7">
          <cell r="B7" t="str">
            <v>PROCURADURIA AMBIENTAL</v>
          </cell>
        </row>
        <row r="8">
          <cell r="B8">
            <v>830095213</v>
          </cell>
        </row>
        <row r="9">
          <cell r="B9" t="str">
            <v xml:space="preserve">YOPAL, CORPORACION Y PARTICULARES DUEÑOS DE PREDIOS </v>
          </cell>
        </row>
        <row r="10">
          <cell r="B10" t="str">
            <v>CONTESTACION</v>
          </cell>
        </row>
        <row r="11">
          <cell r="B11" t="str">
            <v>NA</v>
          </cell>
        </row>
        <row r="12">
          <cell r="B12" t="str">
            <v>Provisión contable</v>
          </cell>
        </row>
        <row r="13">
          <cell r="B13">
            <v>42309</v>
          </cell>
        </row>
        <row r="15">
          <cell r="B15">
            <v>43039</v>
          </cell>
        </row>
        <row r="20">
          <cell r="A20" t="str">
            <v xml:space="preserve">EL 9/04/2018 EL TRIBUNAL ADMINISTRATIVO DE CASANARE ARCHIVA LA ACCION POPULAR 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2015-366</v>
          </cell>
        </row>
        <row r="6">
          <cell r="B6" t="str">
            <v>NULIDAD Y RESTABLECIMIENTO DEL DERECHO</v>
          </cell>
        </row>
        <row r="7">
          <cell r="B7" t="str">
            <v>GENNY MILADY TORRES TORRES</v>
          </cell>
        </row>
        <row r="8">
          <cell r="B8">
            <v>68174726</v>
          </cell>
        </row>
        <row r="9">
          <cell r="B9" t="str">
            <v>CORPORINOQUIA</v>
          </cell>
        </row>
        <row r="10">
          <cell r="B10" t="str">
            <v>SE LLEVA A CABO AUDIENCIA INICIAL</v>
          </cell>
        </row>
        <row r="11">
          <cell r="B11">
            <v>70465455.286353737</v>
          </cell>
        </row>
        <row r="12">
          <cell r="B12" t="str">
            <v>Cuentas de orden</v>
          </cell>
        </row>
        <row r="13">
          <cell r="B13">
            <v>42467</v>
          </cell>
        </row>
        <row r="15">
          <cell r="B15">
            <v>43562</v>
          </cell>
        </row>
        <row r="20">
          <cell r="A20" t="str">
            <v>En caso tal de perder el proceso se ordenaría principalmente una obligación de hacer, ahora el Juez o Magistrado puede considerar que existieron unos perjuicios que se deben cancelar y que fueron calculados, sin embargo la posibilidad de que el juez llegue a condenar al pago de unos perjuicios es muy baja.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2015-345</v>
          </cell>
        </row>
        <row r="6">
          <cell r="B6" t="str">
            <v>NULIDAD Y RESTABLECIMIENTO DEL DERECHO</v>
          </cell>
        </row>
        <row r="7">
          <cell r="B7" t="str">
            <v>SARA LUCIA GONZALEZ GONZALEZ</v>
          </cell>
        </row>
        <row r="8">
          <cell r="B8">
            <v>51967801</v>
          </cell>
        </row>
        <row r="9">
          <cell r="B9" t="str">
            <v>CORPORINOQUIA</v>
          </cell>
        </row>
        <row r="10">
          <cell r="B10" t="str">
            <v>AUDIENCIA INICIAL</v>
          </cell>
        </row>
        <row r="11">
          <cell r="B11">
            <v>161152962.89160052</v>
          </cell>
        </row>
        <row r="12">
          <cell r="B12" t="str">
            <v>Cuentas de orden</v>
          </cell>
        </row>
        <row r="13">
          <cell r="B13">
            <v>42382</v>
          </cell>
        </row>
        <row r="15">
          <cell r="B15">
            <v>43477</v>
          </cell>
        </row>
        <row r="20">
          <cell r="A20" t="str">
            <v xml:space="preserve">En caso tal de perder el proceso se ordenaría principalmente una obligación de hacer, ahora el Juez o Magistrado puede considerar que existieron unos perjuicios que se deben cancelar y que fueron calculados, sin embargo la posibilidad de que el juez llegue a condenar al pago de unos perjuicios es muy baja, casi que nula  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2015-250</v>
          </cell>
        </row>
        <row r="6">
          <cell r="B6" t="str">
            <v>NULIDAD Y RESTABLECIMIENTO DEL DERECHO</v>
          </cell>
        </row>
        <row r="7">
          <cell r="B7" t="str">
            <v>JOSE ALVARO CHIGUASAQUE ROJAS</v>
          </cell>
        </row>
        <row r="8">
          <cell r="B8">
            <v>212965</v>
          </cell>
        </row>
        <row r="9">
          <cell r="B9" t="str">
            <v>CORPORINOQUIA</v>
          </cell>
        </row>
        <row r="10">
          <cell r="B10" t="str">
            <v>AUDIENCIA DE PRUEBAS</v>
          </cell>
        </row>
        <row r="11">
          <cell r="B11">
            <v>58371393.053690836</v>
          </cell>
        </row>
        <row r="12">
          <cell r="B12" t="str">
            <v>Cuentas de orden</v>
          </cell>
        </row>
        <row r="13">
          <cell r="B13">
            <v>41900</v>
          </cell>
        </row>
        <row r="15">
          <cell r="B15">
            <v>42995</v>
          </cell>
        </row>
        <row r="20">
          <cell r="A20" t="str">
            <v xml:space="preserve">En caso tal de perder el proceso se ordenaría principalmente una obligación de hacer, ahora el Juez o Magistrado puede considerar que existieron unos perjuicios que se deben cancelar y que fueron calculados, sin embargo la posibilidad de que el juez llegue a condenar al pago de unos perjuicios es muy baja, casi que nula  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2015-231</v>
          </cell>
        </row>
        <row r="6">
          <cell r="B6" t="str">
            <v>NULIDAD Y RESTABLECIMIENTO DEL DERECHO</v>
          </cell>
        </row>
        <row r="7">
          <cell r="B7" t="str">
            <v>JHON JAIRO TORRES TORRES</v>
          </cell>
        </row>
        <row r="8">
          <cell r="B8">
            <v>17293435</v>
          </cell>
        </row>
        <row r="9">
          <cell r="B9" t="str">
            <v>CORPORINOQUIA</v>
          </cell>
        </row>
        <row r="10">
          <cell r="B10" t="str">
            <v>AUDIENCIA INICIAL</v>
          </cell>
        </row>
        <row r="11">
          <cell r="B11">
            <v>2556865.9964829199</v>
          </cell>
        </row>
        <row r="12">
          <cell r="B12" t="str">
            <v>Cuentas de orden</v>
          </cell>
        </row>
        <row r="13">
          <cell r="B13">
            <v>42264</v>
          </cell>
        </row>
        <row r="15">
          <cell r="B15">
            <v>43359</v>
          </cell>
        </row>
        <row r="20">
          <cell r="A20" t="str">
            <v xml:space="preserve">En caso tal de perder el proceso se ordenaría principalmente una obligación de hacer, ahora el Juez o Magistrado puede considerar que existieron unos perjuicios que se deben cancelar y que fueron calculados, sin embargo la posibilidad de que el juez llegue a condenar al pago de unos perjuicios es muy baja, casi que nula  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2015-138</v>
          </cell>
        </row>
        <row r="6">
          <cell r="B6" t="str">
            <v>NULIDAD Y RESTABLECIMIENTO DEL DERECHO</v>
          </cell>
        </row>
        <row r="7">
          <cell r="B7" t="str">
            <v>SICIM COLOMBIA</v>
          </cell>
        </row>
        <row r="8">
          <cell r="B8">
            <v>271956</v>
          </cell>
        </row>
        <row r="9">
          <cell r="B9" t="str">
            <v>CORPORINOQUIA</v>
          </cell>
        </row>
        <row r="10">
          <cell r="B10" t="str">
            <v>APELACION</v>
          </cell>
        </row>
        <row r="11">
          <cell r="B11">
            <v>393919009.6722098</v>
          </cell>
        </row>
        <row r="12">
          <cell r="B12" t="str">
            <v>No se registra</v>
          </cell>
        </row>
        <row r="13">
          <cell r="B13">
            <v>42187</v>
          </cell>
        </row>
        <row r="15">
          <cell r="B15">
            <v>42917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2014-306</v>
          </cell>
        </row>
        <row r="6">
          <cell r="B6" t="str">
            <v>NULIDAD Y RESTABLECIMIENTO DEL DERECHO</v>
          </cell>
        </row>
        <row r="7">
          <cell r="B7" t="str">
            <v>0SCAR MORENO SALCEDO</v>
          </cell>
        </row>
        <row r="8">
          <cell r="B8">
            <v>74860818</v>
          </cell>
        </row>
        <row r="9">
          <cell r="B9" t="str">
            <v>CORPORINOQUIA</v>
          </cell>
        </row>
        <row r="10">
          <cell r="B10" t="str">
            <v>AUDIENCIA DE PRUEBAS</v>
          </cell>
        </row>
        <row r="11">
          <cell r="B11">
            <v>23843676.440957781</v>
          </cell>
        </row>
        <row r="12">
          <cell r="B12" t="str">
            <v>Provisión contable</v>
          </cell>
        </row>
        <row r="13">
          <cell r="B13">
            <v>41943</v>
          </cell>
        </row>
        <row r="15">
          <cell r="B15">
            <v>43038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2014-305</v>
          </cell>
        </row>
        <row r="6">
          <cell r="B6" t="str">
            <v>NULIDAD Y RESTABLECIMIENTO DEL DERECHO</v>
          </cell>
        </row>
        <row r="7">
          <cell r="B7" t="str">
            <v>YULY LILIANA TORRES BARRERA</v>
          </cell>
        </row>
        <row r="8">
          <cell r="B8">
            <v>46384525</v>
          </cell>
        </row>
        <row r="9">
          <cell r="B9" t="str">
            <v>CORPORINOQUIA</v>
          </cell>
        </row>
        <row r="10">
          <cell r="B10" t="str">
            <v>ALEGATOS DE CONCLUSIÓN</v>
          </cell>
        </row>
        <row r="11">
          <cell r="B11">
            <v>15210866.556848185</v>
          </cell>
        </row>
        <row r="12">
          <cell r="B12" t="str">
            <v>Provisión contable</v>
          </cell>
        </row>
        <row r="13">
          <cell r="B13">
            <v>42674</v>
          </cell>
        </row>
        <row r="15">
          <cell r="B15">
            <v>43769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2014-197</v>
          </cell>
        </row>
        <row r="6">
          <cell r="B6" t="str">
            <v>REPARACION DIRECTA</v>
          </cell>
        </row>
        <row r="7">
          <cell r="B7" t="str">
            <v>47437033 WILCHES GONZALEZ HAYDI ZULEIMA - 74860784 CAMACHO  GIOVANNY - 88175631 CAMACHO  LIBARDO</v>
          </cell>
        </row>
        <row r="8">
          <cell r="B8">
            <v>47437033</v>
          </cell>
        </row>
        <row r="9">
          <cell r="B9" t="str">
            <v>CORPORINOQUIA MUNICIPIO DE NUNCHIA Y OTROS</v>
          </cell>
        </row>
        <row r="10">
          <cell r="B10" t="str">
            <v>AUDIENCIA DE PRUEBAS</v>
          </cell>
        </row>
        <row r="11">
          <cell r="B11">
            <v>7539125.4870496802</v>
          </cell>
        </row>
        <row r="12">
          <cell r="B12" t="str">
            <v>Cuentas de orden</v>
          </cell>
        </row>
        <row r="13">
          <cell r="B13">
            <v>41830</v>
          </cell>
        </row>
        <row r="15">
          <cell r="B15">
            <v>42925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2014-154</v>
          </cell>
        </row>
        <row r="6">
          <cell r="B6" t="str">
            <v>NULIDAD Y RESTABLECIMIENTO DEL DERECHO</v>
          </cell>
        </row>
        <row r="7">
          <cell r="B7" t="str">
            <v>DIANA CORPORACION S.A. DICORP S.A.</v>
          </cell>
        </row>
        <row r="8">
          <cell r="B8">
            <v>860031606</v>
          </cell>
        </row>
        <row r="9">
          <cell r="B9" t="str">
            <v>CORPORINOQUIA</v>
          </cell>
        </row>
        <row r="10">
          <cell r="B10" t="str">
            <v>SENTENCIA</v>
          </cell>
        </row>
        <row r="11">
          <cell r="B11">
            <v>39959969.574508451</v>
          </cell>
        </row>
        <row r="12">
          <cell r="B12" t="str">
            <v>Cuentas de orden</v>
          </cell>
        </row>
        <row r="13">
          <cell r="B13">
            <v>41921</v>
          </cell>
        </row>
        <row r="15">
          <cell r="B15">
            <v>43016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2014-085</v>
          </cell>
        </row>
        <row r="6">
          <cell r="B6" t="str">
            <v>REPARACION DIRECTA</v>
          </cell>
        </row>
        <row r="7">
          <cell r="B7" t="str">
            <v>CLAUDIA CONSTANZA RODRIGUEZ MARTINEZ</v>
          </cell>
        </row>
        <row r="8">
          <cell r="B8">
            <v>46358759</v>
          </cell>
        </row>
        <row r="9">
          <cell r="B9" t="str">
            <v>CORPORINOQUIA- MUNICIPIO DE CASANARE Y OTRO</v>
          </cell>
        </row>
        <row r="10">
          <cell r="B10" t="str">
            <v>SENTENCIA</v>
          </cell>
        </row>
        <row r="11">
          <cell r="B11">
            <v>127812174.90492634</v>
          </cell>
        </row>
        <row r="12">
          <cell r="B12" t="str">
            <v>Cuentas de orden</v>
          </cell>
        </row>
        <row r="13">
          <cell r="B13">
            <v>41879</v>
          </cell>
        </row>
        <row r="15">
          <cell r="B15">
            <v>42974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2015 - 187</v>
          </cell>
        </row>
        <row r="6">
          <cell r="B6" t="str">
            <v>POPULAR</v>
          </cell>
        </row>
        <row r="7">
          <cell r="B7" t="str">
            <v>PROCURADURIA AMBIENTAL</v>
          </cell>
        </row>
        <row r="8">
          <cell r="B8">
            <v>830095213</v>
          </cell>
        </row>
        <row r="9">
          <cell r="B9" t="str">
            <v>SABANALARGA, ESP DE SABANA, CASANARE, ACUATODOS Y CORPORACION</v>
          </cell>
        </row>
        <row r="10">
          <cell r="B10" t="str">
            <v>PRUEBAS</v>
          </cell>
        </row>
        <row r="11">
          <cell r="B11" t="str">
            <v>NA</v>
          </cell>
        </row>
        <row r="12">
          <cell r="B12" t="str">
            <v>Provisión contable</v>
          </cell>
        </row>
        <row r="13">
          <cell r="B13">
            <v>42248</v>
          </cell>
        </row>
        <row r="15">
          <cell r="B15">
            <v>42978</v>
          </cell>
        </row>
        <row r="20">
          <cell r="A20" t="str">
            <v xml:space="preserve">EL 26/01/2016 EL TRIBUNAL ADMINISTRATIVO DE CASANARE ORDENA REMITIR LAS ACTUACIONES DE LA PRESENTE ACCION POPULAR A LA APELACION DE LA ACCION POPULAR 11 - 212. 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2017-217</v>
          </cell>
        </row>
        <row r="6">
          <cell r="B6" t="str">
            <v>NULIDAD Y RESTABLECIMIENTO</v>
          </cell>
        </row>
        <row r="7">
          <cell r="B7" t="str">
            <v>Edith Rosa Albarracín Ramírez</v>
          </cell>
        </row>
        <row r="8">
          <cell r="B8">
            <v>47432765</v>
          </cell>
        </row>
        <row r="9">
          <cell r="B9" t="str">
            <v>CORPORINOQUIA</v>
          </cell>
        </row>
        <row r="10">
          <cell r="B10" t="str">
            <v>EN ESPERA DE QUE SE FIJE FECHA AUDIENCIA INICIAL</v>
          </cell>
        </row>
        <row r="11">
          <cell r="B11">
            <v>20011258.961518984</v>
          </cell>
        </row>
        <row r="12">
          <cell r="B12" t="str">
            <v>Cuentas de orden</v>
          </cell>
        </row>
        <row r="13">
          <cell r="B13">
            <v>43395</v>
          </cell>
        </row>
        <row r="15">
          <cell r="B15">
            <v>44125</v>
          </cell>
        </row>
        <row r="20">
          <cell r="A20" t="str">
            <v>Se pretende la nulidad de un acto administrativo que no fue expedido por la Corporacion, de tal forma que no genera carga economia para la Corporacion.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2017-00027</v>
          </cell>
        </row>
        <row r="6">
          <cell r="B6" t="str">
            <v>NULIDAD Y RESTABLECIMIENTO</v>
          </cell>
        </row>
        <row r="7">
          <cell r="B7" t="str">
            <v>María De Los Ángeles Galvis Fuentes</v>
          </cell>
        </row>
        <row r="8">
          <cell r="B8">
            <v>47430595</v>
          </cell>
        </row>
        <row r="9">
          <cell r="B9" t="str">
            <v>CORPORINOQUIA</v>
          </cell>
        </row>
        <row r="10">
          <cell r="B10" t="str">
            <v>EN ESPERA DE QUE SE FIJE FECHA AUDIENCIA INICIAL</v>
          </cell>
        </row>
        <row r="11">
          <cell r="B11">
            <v>10286928.562332725</v>
          </cell>
        </row>
        <row r="12">
          <cell r="B12" t="str">
            <v>Cuentas de orden</v>
          </cell>
        </row>
        <row r="13">
          <cell r="B13">
            <v>43028</v>
          </cell>
        </row>
        <row r="15">
          <cell r="B15">
            <v>43758</v>
          </cell>
        </row>
        <row r="20">
          <cell r="A20" t="str">
            <v>Se pretende la nulidad de un acto administrativo mediante el cual Corporinoquia niega el reconocimiento de emolumentos salariales.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2017-00039</v>
          </cell>
        </row>
        <row r="6">
          <cell r="B6" t="str">
            <v>NULIDAD Y RESTABLECIMIENTO</v>
          </cell>
        </row>
        <row r="7">
          <cell r="B7" t="str">
            <v>Olga Lucía Benítez Abril</v>
          </cell>
        </row>
        <row r="8">
          <cell r="B8">
            <v>51786833</v>
          </cell>
        </row>
        <row r="9">
          <cell r="B9" t="str">
            <v>CORPORINOQUIA</v>
          </cell>
        </row>
        <row r="10">
          <cell r="B10" t="str">
            <v>EN ESPERA DE QUE SE FIJE FECHA AUDIENCIA INICIAL</v>
          </cell>
        </row>
        <row r="11">
          <cell r="B11">
            <v>7008551.7708846508</v>
          </cell>
        </row>
        <row r="12">
          <cell r="B12" t="str">
            <v>Cuentas de orden</v>
          </cell>
        </row>
        <row r="13">
          <cell r="B13">
            <v>42874</v>
          </cell>
        </row>
        <row r="15">
          <cell r="B15">
            <v>43604</v>
          </cell>
        </row>
        <row r="20">
          <cell r="A20" t="str">
            <v>Se pretende la nulidad de un acto administrativo mediante el cual la Corporacion niega el reconocimiento de emolumentos salariales provenientes de una supuesta relación laboral (contrato realidad).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2017-00253</v>
          </cell>
        </row>
        <row r="6">
          <cell r="B6" t="str">
            <v>REPARACIÓN DIRECTA</v>
          </cell>
        </row>
        <row r="7">
          <cell r="B7" t="str">
            <v>GERMAN DANIEL ARCHILA VARGAS</v>
          </cell>
        </row>
        <row r="8">
          <cell r="B8">
            <v>9650049</v>
          </cell>
        </row>
        <row r="9">
          <cell r="B9" t="str">
            <v>CORPORINOQUIA Y OTROS</v>
          </cell>
        </row>
        <row r="10">
          <cell r="B10" t="str">
            <v>EN ESPERA DE QUE SE FIJE FECHA AUDIENCIA INICIAL</v>
          </cell>
        </row>
        <row r="11">
          <cell r="B11">
            <v>251792102.55423403</v>
          </cell>
        </row>
        <row r="12">
          <cell r="B12" t="str">
            <v>Cuentas de orden</v>
          </cell>
        </row>
        <row r="13">
          <cell r="B13">
            <v>43053</v>
          </cell>
        </row>
        <row r="15">
          <cell r="B15">
            <v>44513</v>
          </cell>
        </row>
        <row r="20">
          <cell r="A20" t="str">
            <v>Se pretende declarar administrativamente responsable a la Corporación por los daños y perjuicios sufridos por los demandantes con ocasión de inundaciones en sus predios en la vereda morrocolandia de Yopal.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2018-00013</v>
          </cell>
        </row>
        <row r="6">
          <cell r="B6" t="str">
            <v>REPARACION DIRECTA</v>
          </cell>
        </row>
        <row r="7">
          <cell r="B7" t="str">
            <v>MAROXI HERRERA BERNAL Y LUIS EDUARDO HIDALGO FLOREZ</v>
          </cell>
        </row>
        <row r="8">
          <cell r="B8" t="str">
            <v>68285337  / 17586141</v>
          </cell>
        </row>
        <row r="9">
          <cell r="B9" t="str">
            <v>CORPORINOQUIA- MUNICIPIO DE ARAUCA</v>
          </cell>
        </row>
        <row r="10">
          <cell r="B10" t="str">
            <v>RESPUESTA A LA DEMANDA</v>
          </cell>
        </row>
        <row r="11">
          <cell r="B11">
            <v>122838225</v>
          </cell>
        </row>
        <row r="12">
          <cell r="B12" t="str">
            <v>No se registra</v>
          </cell>
        </row>
        <row r="13">
          <cell r="B13">
            <v>43173</v>
          </cell>
        </row>
        <row r="15">
          <cell r="B15">
            <v>44268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2016-00241-00</v>
          </cell>
        </row>
        <row r="6">
          <cell r="B6" t="str">
            <v>LABORAL DE PRIMERA INSTANCIA</v>
          </cell>
        </row>
        <row r="7">
          <cell r="B7" t="str">
            <v>SAIDA YOLANDA CAMARGO SUAREZ</v>
          </cell>
        </row>
        <row r="8">
          <cell r="B8">
            <v>40505996</v>
          </cell>
        </row>
        <row r="9">
          <cell r="B9" t="str">
            <v>CORPORINOQUIA</v>
          </cell>
        </row>
        <row r="10">
          <cell r="B10" t="str">
            <v>AUDIENCIA DE CONCILIACION</v>
          </cell>
        </row>
        <row r="11">
          <cell r="B11">
            <v>239868652</v>
          </cell>
        </row>
        <row r="12">
          <cell r="B12" t="str">
            <v>Provisión contable</v>
          </cell>
        </row>
        <row r="13">
          <cell r="B13">
            <v>42656</v>
          </cell>
        </row>
        <row r="15">
          <cell r="B15">
            <v>43751</v>
          </cell>
        </row>
        <row r="20">
          <cell r="A20" t="str">
            <v>EL VALOR DE LA PRETENSION CORRESPONDE A LO SOLICITADO POR EL APODERADO, SIN EMBARGO,  ES DE ANOTAR QUE SIENDO UN SOLO DEMANDANTE, EL VALOR DE DICHA PRETENSION ES IGUAL AL DE LA DEMANDA 2016-00212-00, DONDE SON TRES LOS DEMANDANTES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 refreshError="1"/>
      <sheetData sheetId="1" refreshError="1"/>
      <sheetData sheetId="2">
        <row r="5">
          <cell r="B5" t="str">
            <v>2016-00212-00</v>
          </cell>
        </row>
        <row r="6">
          <cell r="B6" t="str">
            <v>LABORAL DE PRIMERA INSTANCIA</v>
          </cell>
        </row>
        <row r="7">
          <cell r="B7" t="str">
            <v>MARITZA SUAREZ CAÑAS, EMILIANO VELASCO DURAN,  MARTIZA ISABEL CAMARGO SUAREZ</v>
          </cell>
        </row>
        <row r="8">
          <cell r="B8" t="str">
            <v>68246329 /  96124825 /1115724330</v>
          </cell>
        </row>
        <row r="9">
          <cell r="B9" t="str">
            <v>CORPORINOQUIA</v>
          </cell>
        </row>
        <row r="10">
          <cell r="B10" t="str">
            <v>RESPUESTA A LA DEMANDA</v>
          </cell>
        </row>
        <row r="11">
          <cell r="B11">
            <v>239868652</v>
          </cell>
        </row>
        <row r="12">
          <cell r="B12" t="str">
            <v>Provisión contable</v>
          </cell>
        </row>
        <row r="13">
          <cell r="B13">
            <v>42606</v>
          </cell>
        </row>
        <row r="15">
          <cell r="B15">
            <v>43701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2014-00018</v>
          </cell>
        </row>
        <row r="6">
          <cell r="B6" t="str">
            <v>ACCION CONTRACTUAL</v>
          </cell>
        </row>
        <row r="7">
          <cell r="B7" t="str">
            <v>FUNDESCOMUN</v>
          </cell>
        </row>
        <row r="8">
          <cell r="B8">
            <v>9000395155</v>
          </cell>
        </row>
        <row r="9">
          <cell r="B9" t="str">
            <v>CORPORINOQUIA</v>
          </cell>
        </row>
        <row r="10">
          <cell r="B10" t="str">
            <v>ALEGATOS DE CONCLUSION</v>
          </cell>
        </row>
        <row r="11">
          <cell r="B11">
            <v>382822484</v>
          </cell>
        </row>
        <row r="12">
          <cell r="B12" t="str">
            <v>No se registra</v>
          </cell>
        </row>
        <row r="13">
          <cell r="B13">
            <v>41976</v>
          </cell>
        </row>
        <row r="15">
          <cell r="B15">
            <v>43436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2015 - 156</v>
          </cell>
        </row>
        <row r="6">
          <cell r="B6" t="str">
            <v>POPULAR</v>
          </cell>
        </row>
        <row r="7">
          <cell r="B7" t="str">
            <v>PROCURADURIA AMBIENTAL</v>
          </cell>
        </row>
        <row r="8">
          <cell r="B8">
            <v>830095213</v>
          </cell>
        </row>
        <row r="9">
          <cell r="B9" t="str">
            <v xml:space="preserve">CASANARE, TRINIDAD, ESP DE TRINIDAD Y CORPORACION </v>
          </cell>
        </row>
        <row r="10">
          <cell r="B10" t="str">
            <v>PRUEBAS</v>
          </cell>
        </row>
        <row r="11">
          <cell r="B11">
            <v>33111390.895858351</v>
          </cell>
        </row>
        <row r="12">
          <cell r="B12" t="str">
            <v>Provisión contable</v>
          </cell>
        </row>
        <row r="13">
          <cell r="B13">
            <v>42186</v>
          </cell>
        </row>
        <row r="15">
          <cell r="B15">
            <v>42916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2015 - 155</v>
          </cell>
        </row>
        <row r="6">
          <cell r="B6" t="str">
            <v>POPULAR</v>
          </cell>
        </row>
        <row r="7">
          <cell r="B7" t="str">
            <v>PROCURADURIA AMBIENTAL</v>
          </cell>
        </row>
        <row r="8">
          <cell r="B8">
            <v>830095213</v>
          </cell>
        </row>
        <row r="9">
          <cell r="B9" t="str">
            <v xml:space="preserve">CASANARE,  TAMARA, ESP DE TAMARA Y CORPORACION  </v>
          </cell>
        </row>
        <row r="10">
          <cell r="B10" t="str">
            <v>PRUEBAS</v>
          </cell>
        </row>
        <row r="11">
          <cell r="B11" t="str">
            <v>NA</v>
          </cell>
        </row>
        <row r="12">
          <cell r="B12" t="str">
            <v>Provisión contable</v>
          </cell>
        </row>
        <row r="13">
          <cell r="B13">
            <v>42186</v>
          </cell>
        </row>
        <row r="15">
          <cell r="B15">
            <v>42916</v>
          </cell>
        </row>
        <row r="20">
          <cell r="A20" t="str">
            <v>EL 5/4/2018 EL TRIBUNAL ADMINISTRATIVO DE CASANARE SENTENCIA GENERA SENTENCIA FAVORABLE A LA CORPORACION, SE DECRETA HECHO SUPERADO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2015 - 39</v>
          </cell>
        </row>
        <row r="6">
          <cell r="B6" t="str">
            <v>POPULAR</v>
          </cell>
        </row>
        <row r="7">
          <cell r="B7" t="str">
            <v>PROCURADURIA AMBIENTAL</v>
          </cell>
        </row>
        <row r="8">
          <cell r="B8">
            <v>830095213</v>
          </cell>
        </row>
        <row r="9">
          <cell r="B9" t="str">
            <v xml:space="preserve">CORPORACION, ELOGY Y CPECOL </v>
          </cell>
        </row>
        <row r="10">
          <cell r="B10" t="str">
            <v>PRUEBAS</v>
          </cell>
        </row>
        <row r="11">
          <cell r="B11">
            <v>22968341.266026016</v>
          </cell>
        </row>
        <row r="12">
          <cell r="B12" t="str">
            <v>Provisión contable</v>
          </cell>
        </row>
        <row r="13">
          <cell r="B13">
            <v>42064</v>
          </cell>
        </row>
        <row r="15">
          <cell r="B15">
            <v>43159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PRETENSIONES"/>
      <sheetName val="estimación provisión RIESGO"/>
      <sheetName val="RESUMEN"/>
      <sheetName val="Hoja3"/>
      <sheetName val="IPC"/>
      <sheetName val="BASE IPC"/>
      <sheetName val="TES"/>
      <sheetName val="Proyecciones Jun-2016"/>
      <sheetName val="Hoja2"/>
      <sheetName val="Hoja1"/>
    </sheetNames>
    <sheetDataSet>
      <sheetData sheetId="0"/>
      <sheetData sheetId="1"/>
      <sheetData sheetId="2">
        <row r="5">
          <cell r="B5" t="str">
            <v>2014 - 249</v>
          </cell>
        </row>
        <row r="6">
          <cell r="B6" t="str">
            <v>POPULAR</v>
          </cell>
        </row>
        <row r="7">
          <cell r="B7" t="str">
            <v>PROCURADURIA AMBIENTAL</v>
          </cell>
        </row>
        <row r="8">
          <cell r="B8">
            <v>830095213</v>
          </cell>
        </row>
        <row r="9">
          <cell r="B9" t="str">
            <v>YOPAL Y CORPORACION</v>
          </cell>
        </row>
        <row r="10">
          <cell r="B10" t="str">
            <v>PRUEBAS</v>
          </cell>
        </row>
        <row r="11">
          <cell r="B11">
            <v>31757178.502683774</v>
          </cell>
        </row>
        <row r="12">
          <cell r="B12" t="str">
            <v>Provisión contable</v>
          </cell>
        </row>
        <row r="13">
          <cell r="B13">
            <v>42005</v>
          </cell>
        </row>
        <row r="15">
          <cell r="B15">
            <v>43100</v>
          </cell>
        </row>
        <row r="20">
          <cell r="A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73"/>
  <sheetViews>
    <sheetView showGridLines="0" tabSelected="1" view="pageBreakPreview" zoomScale="55" zoomScaleNormal="100" zoomScaleSheetLayoutView="55" workbookViewId="0">
      <pane ySplit="1" topLeftCell="A2" activePane="bottomLeft" state="frozen"/>
      <selection activeCell="E1" sqref="E1"/>
      <selection pane="bottomLeft" activeCell="K61" sqref="K61:N65"/>
    </sheetView>
  </sheetViews>
  <sheetFormatPr baseColWidth="10" defaultRowHeight="12.75" x14ac:dyDescent="0.2"/>
  <cols>
    <col min="1" max="1" width="4.140625" style="3" bestFit="1" customWidth="1"/>
    <col min="2" max="2" width="14.28515625" style="3" bestFit="1" customWidth="1"/>
    <col min="3" max="3" width="12.28515625" style="3" bestFit="1" customWidth="1"/>
    <col min="4" max="4" width="15.5703125" style="3" bestFit="1" customWidth="1"/>
    <col min="5" max="6" width="24.5703125" style="3" customWidth="1"/>
    <col min="7" max="7" width="24.5703125" style="3" hidden="1" customWidth="1"/>
    <col min="8" max="8" width="24.28515625" style="3" bestFit="1" customWidth="1"/>
    <col min="9" max="9" width="23" style="5" bestFit="1" customWidth="1"/>
    <col min="10" max="10" width="15.85546875" style="3" bestFit="1" customWidth="1"/>
    <col min="11" max="11" width="16.85546875" style="3" bestFit="1" customWidth="1"/>
    <col min="12" max="12" width="10.42578125" style="3" bestFit="1" customWidth="1"/>
    <col min="13" max="13" width="19.28515625" style="3" customWidth="1"/>
    <col min="14" max="14" width="43.42578125" style="3" customWidth="1"/>
    <col min="15" max="15" width="16.42578125" style="3" hidden="1" customWidth="1"/>
    <col min="16" max="16" width="14.28515625" style="3" hidden="1" customWidth="1"/>
    <col min="17" max="17" width="13.42578125" style="3" hidden="1" customWidth="1"/>
    <col min="18" max="19" width="14.42578125" style="3" hidden="1" customWidth="1"/>
    <col min="20" max="16384" width="11.42578125" style="3"/>
  </cols>
  <sheetData>
    <row r="1" spans="1:18" s="1" customFormat="1" ht="38.25" x14ac:dyDescent="0.2">
      <c r="A1" s="4" t="s">
        <v>8</v>
      </c>
      <c r="B1" s="4" t="s">
        <v>10</v>
      </c>
      <c r="C1" s="4" t="s">
        <v>0</v>
      </c>
      <c r="D1" s="4" t="s">
        <v>1</v>
      </c>
      <c r="E1" s="4" t="s">
        <v>2</v>
      </c>
      <c r="F1" s="4" t="s">
        <v>20</v>
      </c>
      <c r="G1" s="4" t="s">
        <v>19</v>
      </c>
      <c r="H1" s="4" t="s">
        <v>3</v>
      </c>
      <c r="I1" s="4" t="s">
        <v>4</v>
      </c>
      <c r="J1" s="4" t="s">
        <v>12</v>
      </c>
      <c r="K1" s="4" t="s">
        <v>11</v>
      </c>
      <c r="L1" s="4" t="s">
        <v>5</v>
      </c>
      <c r="M1" s="4" t="s">
        <v>6</v>
      </c>
      <c r="N1" s="4" t="s">
        <v>7</v>
      </c>
      <c r="P1" s="1" t="s">
        <v>16</v>
      </c>
      <c r="Q1" s="1" t="s">
        <v>17</v>
      </c>
      <c r="R1" s="1" t="s">
        <v>18</v>
      </c>
    </row>
    <row r="2" spans="1:18" s="2" customFormat="1" ht="38.25" x14ac:dyDescent="0.2">
      <c r="A2" s="7">
        <v>1</v>
      </c>
      <c r="B2" s="7" t="s">
        <v>13</v>
      </c>
      <c r="C2" s="7" t="str">
        <f>+[1]RESUMEN!$B$5</f>
        <v>2016 - 106</v>
      </c>
      <c r="D2" s="7" t="str">
        <f>+[1]RESUMEN!$B$6</f>
        <v>POPULAR</v>
      </c>
      <c r="E2" s="7" t="str">
        <f>+[1]RESUMEN!$B$7</f>
        <v xml:space="preserve">JORGE ENRIQUE PEREZ CACERES </v>
      </c>
      <c r="F2" s="7">
        <f>+[1]RESUMEN!$B$8</f>
        <v>7175536</v>
      </c>
      <c r="G2" s="7"/>
      <c r="H2" s="7" t="str">
        <f>+[1]RESUMEN!$B$9</f>
        <v>INVIAS, CORPORACION, PAZ DE ARIPORO, COROZAL Y MINTRANSPORTE</v>
      </c>
      <c r="I2" s="8">
        <f>+[1]RESUMEN!$B$11</f>
        <v>30779142.696628965</v>
      </c>
      <c r="J2" s="7" t="str">
        <f>+[1]RESUMEN!$B$12</f>
        <v>Provisión contable</v>
      </c>
      <c r="K2" s="9">
        <f>+[1]RESUMEN!$B$13</f>
        <v>42491</v>
      </c>
      <c r="L2" s="9">
        <f>+[1]RESUMEN!$B$15</f>
        <v>43221</v>
      </c>
      <c r="M2" s="7" t="str">
        <f>+[1]RESUMEN!$B$10</f>
        <v>CONTESTACION</v>
      </c>
      <c r="N2" s="7">
        <f>+[1]RESUMEN!$A$20</f>
        <v>0</v>
      </c>
      <c r="P2" s="10">
        <f>+IF($J2="No se registra",I2,0)</f>
        <v>0</v>
      </c>
      <c r="Q2" s="2">
        <f>+IF($J2="Provisión contable",I2,0)</f>
        <v>30779142.696628965</v>
      </c>
      <c r="R2" s="2">
        <f>+IF($J2="Cuentas de orden",I2,0)</f>
        <v>0</v>
      </c>
    </row>
    <row r="3" spans="1:18" s="2" customFormat="1" ht="38.25" x14ac:dyDescent="0.2">
      <c r="A3" s="7">
        <v>2</v>
      </c>
      <c r="B3" s="7" t="s">
        <v>13</v>
      </c>
      <c r="C3" s="7" t="str">
        <f>+[2]RESUMEN!$B$5</f>
        <v>2016 - 00041</v>
      </c>
      <c r="D3" s="7" t="str">
        <f>+[2]RESUMEN!$B$6</f>
        <v>POPULAR</v>
      </c>
      <c r="E3" s="7" t="str">
        <f>+[2]RESUMEN!$B$7</f>
        <v>OROMARIO AVELLA</v>
      </c>
      <c r="F3" s="7">
        <f>+[2]RESUMEN!$B$8</f>
        <v>79297507</v>
      </c>
      <c r="G3" s="7"/>
      <c r="H3" s="7" t="str">
        <f>+[2]RESUMEN!$B$9</f>
        <v>YOPAL, MINTRANSPORTE, CORPORACION Y EMPRESAS DE SERVICIOS P.</v>
      </c>
      <c r="I3" s="8">
        <f>+[2]RESUMEN!$B$11</f>
        <v>28500000</v>
      </c>
      <c r="J3" s="7" t="str">
        <f>+[2]RESUMEN!$B$12</f>
        <v>Provisión contable</v>
      </c>
      <c r="K3" s="9">
        <f>+[2]RESUMEN!$B$13</f>
        <v>42401</v>
      </c>
      <c r="L3" s="9">
        <f>+[2]RESUMEN!$B$15</f>
        <v>43131</v>
      </c>
      <c r="M3" s="7" t="str">
        <f>+[2]RESUMEN!$B$10</f>
        <v>CONTESTACION</v>
      </c>
      <c r="N3" s="7">
        <f>+[2]RESUMEN!$A$20</f>
        <v>0</v>
      </c>
      <c r="P3" s="10">
        <f t="shared" ref="P3:P21" si="0">+IF($J3="No se registra",I3,0)</f>
        <v>0</v>
      </c>
      <c r="Q3" s="2">
        <f t="shared" ref="Q3:Q21" si="1">+IF($J3="Provisión contable",I3,0)</f>
        <v>28500000</v>
      </c>
      <c r="R3" s="2">
        <f t="shared" ref="R3:R21" si="2">+IF($J3="Cuentas de orden",I3,0)</f>
        <v>0</v>
      </c>
    </row>
    <row r="4" spans="1:18" s="2" customFormat="1" ht="38.25" x14ac:dyDescent="0.2">
      <c r="A4" s="7">
        <v>3</v>
      </c>
      <c r="B4" s="7" t="s">
        <v>13</v>
      </c>
      <c r="C4" s="7" t="str">
        <f>+[3]RESUMEN!$B$5</f>
        <v>2015 - 323</v>
      </c>
      <c r="D4" s="7" t="str">
        <f>+[3]RESUMEN!$B$6</f>
        <v>POPULAR</v>
      </c>
      <c r="E4" s="7" t="str">
        <f>+[3]RESUMEN!$B$7</f>
        <v>PROCURADURIA AMBIENTAL</v>
      </c>
      <c r="F4" s="7">
        <f>+[3]RESUMEN!$B$8</f>
        <v>830095213</v>
      </c>
      <c r="G4" s="7"/>
      <c r="H4" s="7" t="str">
        <f>+[3]RESUMEN!$B$9</f>
        <v>YOPAL Y CORPORACION</v>
      </c>
      <c r="I4" s="8">
        <f>+[3]RESUMEN!$B$11</f>
        <v>30121363.029255234</v>
      </c>
      <c r="J4" s="7" t="str">
        <f>+[3]RESUMEN!$B$12</f>
        <v>Provisión contable</v>
      </c>
      <c r="K4" s="9">
        <f>+[3]RESUMEN!$B$13</f>
        <v>42309</v>
      </c>
      <c r="L4" s="9">
        <f>+[3]RESUMEN!$B$15</f>
        <v>43039</v>
      </c>
      <c r="M4" s="7" t="str">
        <f>+[3]RESUMEN!$B$10</f>
        <v>PRUEBAS</v>
      </c>
      <c r="N4" s="7">
        <f>+[3]RESUMEN!$A$20</f>
        <v>0</v>
      </c>
      <c r="P4" s="10">
        <f t="shared" si="0"/>
        <v>0</v>
      </c>
      <c r="Q4" s="2">
        <f t="shared" si="1"/>
        <v>30121363.029255234</v>
      </c>
      <c r="R4" s="2">
        <f t="shared" si="2"/>
        <v>0</v>
      </c>
    </row>
    <row r="5" spans="1:18" s="2" customFormat="1" ht="38.25" x14ac:dyDescent="0.2">
      <c r="A5" s="7">
        <v>4</v>
      </c>
      <c r="B5" s="7" t="s">
        <v>13</v>
      </c>
      <c r="C5" s="7" t="str">
        <f>+[4]RESUMEN!$B$5</f>
        <v>2015 - 313</v>
      </c>
      <c r="D5" s="7" t="str">
        <f>+[4]RESUMEN!$B$6</f>
        <v>POPULAR</v>
      </c>
      <c r="E5" s="7" t="str">
        <f>+[4]RESUMEN!$B$7</f>
        <v>PROCURADURIA AMBIENTAL</v>
      </c>
      <c r="F5" s="7">
        <f>+[4]RESUMEN!$B$8</f>
        <v>830095213</v>
      </c>
      <c r="G5" s="7"/>
      <c r="H5" s="7" t="str">
        <f>+[4]RESUMEN!$B$9</f>
        <v xml:space="preserve">YOPAL, CORPORACION Y PARTICULARES DUEÑOS DE PREDIOS </v>
      </c>
      <c r="I5" s="8" t="str">
        <f>+[4]RESUMEN!$B$11</f>
        <v>NA</v>
      </c>
      <c r="J5" s="7" t="str">
        <f>+[4]RESUMEN!$B$12</f>
        <v>Provisión contable</v>
      </c>
      <c r="K5" s="9">
        <f>+[4]RESUMEN!$B$13</f>
        <v>42309</v>
      </c>
      <c r="L5" s="9">
        <f>+[4]RESUMEN!$B$15</f>
        <v>43039</v>
      </c>
      <c r="M5" s="7" t="str">
        <f>+[4]RESUMEN!$B$10</f>
        <v>CONTESTACION</v>
      </c>
      <c r="N5" s="7" t="str">
        <f>+[4]RESUMEN!$A$20</f>
        <v xml:space="preserve">EL 9/04/2018 EL TRIBUNAL ADMINISTRATIVO DE CASANARE ARCHIVA LA ACCION POPULAR </v>
      </c>
      <c r="P5" s="10">
        <f t="shared" ref="P5" si="3">+IF($J5="No se registra",I5,0)</f>
        <v>0</v>
      </c>
      <c r="Q5" s="2" t="str">
        <f t="shared" ref="Q5" si="4">+IF($J5="Provisión contable",I5,0)</f>
        <v>NA</v>
      </c>
      <c r="R5" s="2">
        <f t="shared" ref="R5" si="5">+IF($J5="Cuentas de orden",I5,0)</f>
        <v>0</v>
      </c>
    </row>
    <row r="6" spans="1:18" s="2" customFormat="1" ht="51" x14ac:dyDescent="0.2">
      <c r="A6" s="7">
        <v>5</v>
      </c>
      <c r="B6" s="7" t="s">
        <v>13</v>
      </c>
      <c r="C6" s="7" t="str">
        <f>+[5]RESUMEN!$B$5</f>
        <v>2015 - 187</v>
      </c>
      <c r="D6" s="7" t="str">
        <f>+[5]RESUMEN!$B$6</f>
        <v>POPULAR</v>
      </c>
      <c r="E6" s="7" t="str">
        <f>+[5]RESUMEN!$B$7</f>
        <v>PROCURADURIA AMBIENTAL</v>
      </c>
      <c r="F6" s="7">
        <f>+[5]RESUMEN!$B$8</f>
        <v>830095213</v>
      </c>
      <c r="G6" s="7"/>
      <c r="H6" s="7" t="str">
        <f>+[5]RESUMEN!$B$9</f>
        <v>SABANALARGA, ESP DE SABANA, CASANARE, ACUATODOS Y CORPORACION</v>
      </c>
      <c r="I6" s="8" t="str">
        <f>+[5]RESUMEN!$B$11</f>
        <v>NA</v>
      </c>
      <c r="J6" s="7" t="str">
        <f>+[5]RESUMEN!$B$12</f>
        <v>Provisión contable</v>
      </c>
      <c r="K6" s="9">
        <f>+[5]RESUMEN!$B$13</f>
        <v>42248</v>
      </c>
      <c r="L6" s="9">
        <f>+[5]RESUMEN!$B$15</f>
        <v>42978</v>
      </c>
      <c r="M6" s="7" t="str">
        <f>+[5]RESUMEN!$B$10</f>
        <v>PRUEBAS</v>
      </c>
      <c r="N6" s="7" t="str">
        <f>+[5]RESUMEN!$A$20</f>
        <v xml:space="preserve">EL 26/01/2016 EL TRIBUNAL ADMINISTRATIVO DE CASANARE ORDENA REMITIR LAS ACTUACIONES DE LA PRESENTE ACCION POPULAR A LA APELACION DE LA ACCION POPULAR 11 - 212. </v>
      </c>
      <c r="P6" s="10">
        <f t="shared" ref="P6:P7" si="6">+IF($J6="No se registra",I6,0)</f>
        <v>0</v>
      </c>
      <c r="Q6" s="2" t="str">
        <f t="shared" ref="Q6:Q7" si="7">+IF($J6="Provisión contable",I6,0)</f>
        <v>NA</v>
      </c>
      <c r="R6" s="2">
        <f t="shared" ref="R6:R7" si="8">+IF($J6="Cuentas de orden",I6,0)</f>
        <v>0</v>
      </c>
    </row>
    <row r="7" spans="1:18" s="2" customFormat="1" ht="38.25" x14ac:dyDescent="0.2">
      <c r="A7" s="7">
        <v>6</v>
      </c>
      <c r="B7" s="7" t="s">
        <v>13</v>
      </c>
      <c r="C7" s="7" t="str">
        <f>+[6]RESUMEN!$B$5</f>
        <v>2015 - 156</v>
      </c>
      <c r="D7" s="7" t="str">
        <f>+[6]RESUMEN!$B$6</f>
        <v>POPULAR</v>
      </c>
      <c r="E7" s="7" t="str">
        <f>+[6]RESUMEN!$B$7</f>
        <v>PROCURADURIA AMBIENTAL</v>
      </c>
      <c r="F7" s="7">
        <f>+[6]RESUMEN!$B$8</f>
        <v>830095213</v>
      </c>
      <c r="G7" s="7"/>
      <c r="H7" s="7" t="str">
        <f>+[6]RESUMEN!$B$9</f>
        <v xml:space="preserve">CASANARE, TRINIDAD, ESP DE TRINIDAD Y CORPORACION </v>
      </c>
      <c r="I7" s="8">
        <f>+[6]RESUMEN!$B$11</f>
        <v>33111390.895858351</v>
      </c>
      <c r="J7" s="7" t="str">
        <f>+[6]RESUMEN!$B$12</f>
        <v>Provisión contable</v>
      </c>
      <c r="K7" s="9">
        <f>+[6]RESUMEN!$B$13</f>
        <v>42186</v>
      </c>
      <c r="L7" s="9">
        <f>+[6]RESUMEN!$B$15</f>
        <v>42916</v>
      </c>
      <c r="M7" s="7" t="str">
        <f>+[6]RESUMEN!$B$10</f>
        <v>PRUEBAS</v>
      </c>
      <c r="N7" s="7">
        <f>+[6]RESUMEN!$A$20</f>
        <v>0</v>
      </c>
      <c r="P7" s="10">
        <f t="shared" si="6"/>
        <v>0</v>
      </c>
      <c r="Q7" s="2">
        <f t="shared" si="7"/>
        <v>33111390.895858351</v>
      </c>
      <c r="R7" s="2">
        <f t="shared" si="8"/>
        <v>0</v>
      </c>
    </row>
    <row r="8" spans="1:18" s="2" customFormat="1" ht="38.25" x14ac:dyDescent="0.2">
      <c r="A8" s="7">
        <v>7</v>
      </c>
      <c r="B8" s="7" t="s">
        <v>13</v>
      </c>
      <c r="C8" s="7" t="str">
        <f>+[7]RESUMEN!$B$5</f>
        <v>2015 - 155</v>
      </c>
      <c r="D8" s="7" t="str">
        <f>+[7]RESUMEN!$B$6</f>
        <v>POPULAR</v>
      </c>
      <c r="E8" s="7" t="str">
        <f>+[7]RESUMEN!$B$7</f>
        <v>PROCURADURIA AMBIENTAL</v>
      </c>
      <c r="F8" s="7">
        <f>+[7]RESUMEN!$B$8</f>
        <v>830095213</v>
      </c>
      <c r="G8" s="7"/>
      <c r="H8" s="7" t="str">
        <f>+[7]RESUMEN!$B$9</f>
        <v xml:space="preserve">CASANARE,  TAMARA, ESP DE TAMARA Y CORPORACION  </v>
      </c>
      <c r="I8" s="8" t="str">
        <f>+[7]RESUMEN!$B$11</f>
        <v>NA</v>
      </c>
      <c r="J8" s="7" t="str">
        <f>+[7]RESUMEN!$B$12</f>
        <v>Provisión contable</v>
      </c>
      <c r="K8" s="9">
        <f>+[7]RESUMEN!$B$13</f>
        <v>42186</v>
      </c>
      <c r="L8" s="9">
        <f>+[7]RESUMEN!$B$15</f>
        <v>42916</v>
      </c>
      <c r="M8" s="7" t="str">
        <f>+[7]RESUMEN!$B$10</f>
        <v>PRUEBAS</v>
      </c>
      <c r="N8" s="7" t="str">
        <f>+[7]RESUMEN!$A$20</f>
        <v>EL 5/4/2018 EL TRIBUNAL ADMINISTRATIVO DE CASANARE SENTENCIA GENERA SENTENCIA FAVORABLE A LA CORPORACION, SE DECRETA HECHO SUPERADO</v>
      </c>
      <c r="P8" s="10">
        <f t="shared" si="0"/>
        <v>0</v>
      </c>
      <c r="Q8" s="2" t="str">
        <f t="shared" si="1"/>
        <v>NA</v>
      </c>
      <c r="R8" s="2">
        <f t="shared" si="2"/>
        <v>0</v>
      </c>
    </row>
    <row r="9" spans="1:18" s="2" customFormat="1" ht="38.25" x14ac:dyDescent="0.2">
      <c r="A9" s="7">
        <v>8</v>
      </c>
      <c r="B9" s="7" t="s">
        <v>13</v>
      </c>
      <c r="C9" s="7" t="str">
        <f>+[8]RESUMEN!$B$5</f>
        <v>2015 - 39</v>
      </c>
      <c r="D9" s="7" t="str">
        <f>+[8]RESUMEN!$B$6</f>
        <v>POPULAR</v>
      </c>
      <c r="E9" s="7" t="str">
        <f>+[8]RESUMEN!$B$7</f>
        <v>PROCURADURIA AMBIENTAL</v>
      </c>
      <c r="F9" s="7">
        <f>+[8]RESUMEN!$B$8</f>
        <v>830095213</v>
      </c>
      <c r="G9" s="7"/>
      <c r="H9" s="7" t="str">
        <f>+[8]RESUMEN!$B$9</f>
        <v xml:space="preserve">CORPORACION, ELOGY Y CPECOL </v>
      </c>
      <c r="I9" s="8">
        <f>+[8]RESUMEN!$B$11</f>
        <v>22968341.266026016</v>
      </c>
      <c r="J9" s="7" t="str">
        <f>+[8]RESUMEN!$B$12</f>
        <v>Provisión contable</v>
      </c>
      <c r="K9" s="9">
        <f>+[8]RESUMEN!$B$13</f>
        <v>42064</v>
      </c>
      <c r="L9" s="9">
        <f>+[8]RESUMEN!$B$15</f>
        <v>43159</v>
      </c>
      <c r="M9" s="7" t="str">
        <f>+[8]RESUMEN!$B$10</f>
        <v>PRUEBAS</v>
      </c>
      <c r="N9" s="7">
        <f>+[8]RESUMEN!$A$20</f>
        <v>0</v>
      </c>
      <c r="P9" s="10">
        <f t="shared" si="0"/>
        <v>0</v>
      </c>
      <c r="Q9" s="2">
        <f t="shared" si="1"/>
        <v>22968341.266026016</v>
      </c>
      <c r="R9" s="2">
        <f t="shared" si="2"/>
        <v>0</v>
      </c>
    </row>
    <row r="10" spans="1:18" s="2" customFormat="1" ht="38.25" x14ac:dyDescent="0.2">
      <c r="A10" s="7">
        <v>9</v>
      </c>
      <c r="B10" s="7" t="s">
        <v>13</v>
      </c>
      <c r="C10" s="7" t="str">
        <f>+[9]RESUMEN!$B$5</f>
        <v>2014 - 249</v>
      </c>
      <c r="D10" s="7" t="str">
        <f>+[9]RESUMEN!$B$6</f>
        <v>POPULAR</v>
      </c>
      <c r="E10" s="7" t="str">
        <f>+[9]RESUMEN!$B$7</f>
        <v>PROCURADURIA AMBIENTAL</v>
      </c>
      <c r="F10" s="7">
        <f>+[9]RESUMEN!$B$8</f>
        <v>830095213</v>
      </c>
      <c r="G10" s="7"/>
      <c r="H10" s="7" t="str">
        <f>+[9]RESUMEN!$B$9</f>
        <v>YOPAL Y CORPORACION</v>
      </c>
      <c r="I10" s="8">
        <f>+[9]RESUMEN!$B$11</f>
        <v>31757178.502683774</v>
      </c>
      <c r="J10" s="7" t="str">
        <f>+[9]RESUMEN!$B$12</f>
        <v>Provisión contable</v>
      </c>
      <c r="K10" s="9">
        <f>+[9]RESUMEN!$B$13</f>
        <v>42005</v>
      </c>
      <c r="L10" s="9">
        <f>+[9]RESUMEN!$B$15</f>
        <v>43100</v>
      </c>
      <c r="M10" s="7" t="str">
        <f>+[9]RESUMEN!$B$10</f>
        <v>PRUEBAS</v>
      </c>
      <c r="N10" s="7">
        <f>+[9]RESUMEN!$A$20</f>
        <v>0</v>
      </c>
      <c r="P10" s="10">
        <f t="shared" si="0"/>
        <v>0</v>
      </c>
      <c r="Q10" s="2">
        <f t="shared" si="1"/>
        <v>31757178.502683774</v>
      </c>
      <c r="R10" s="2">
        <f t="shared" si="2"/>
        <v>0</v>
      </c>
    </row>
    <row r="11" spans="1:18" s="2" customFormat="1" ht="63.75" x14ac:dyDescent="0.2">
      <c r="A11" s="7">
        <v>10</v>
      </c>
      <c r="B11" s="7" t="s">
        <v>13</v>
      </c>
      <c r="C11" s="7" t="str">
        <f>+[10]RESUMEN!$B$5</f>
        <v>2014 - 241</v>
      </c>
      <c r="D11" s="7" t="str">
        <f>+[10]RESUMEN!$B$6</f>
        <v>POPULAR</v>
      </c>
      <c r="E11" s="7" t="str">
        <f>+[10]RESUMEN!$B$7</f>
        <v>PROCURADURIA AMBIENTAL</v>
      </c>
      <c r="F11" s="7">
        <f>+[10]RESUMEN!$B$8</f>
        <v>0</v>
      </c>
      <c r="G11" s="7"/>
      <c r="H11" s="7" t="str">
        <f>+[10]RESUMEN!$B$9</f>
        <v xml:space="preserve">AGUAZUL, CASANARE, ESPA, ACUATODOS Y CORPORACION </v>
      </c>
      <c r="I11" s="8" t="str">
        <f>+[10]RESUMEN!$B$11</f>
        <v>NA</v>
      </c>
      <c r="J11" s="7" t="str">
        <f>+[10]RESUMEN!$B$12</f>
        <v>Provisión contable</v>
      </c>
      <c r="K11" s="9">
        <f>+[10]RESUMEN!$B$13</f>
        <v>41913</v>
      </c>
      <c r="L11" s="9">
        <f>+[10]RESUMEN!$B$15</f>
        <v>43008</v>
      </c>
      <c r="M11" s="7" t="str">
        <f>+[10]RESUMEN!$B$10</f>
        <v xml:space="preserve">APELACION </v>
      </c>
      <c r="N11" s="7" t="str">
        <f>+[10]RESUMEN!$A$20</f>
        <v>EL 21/06/2018 EL CONSEJO DE ESTADO GENERA SENTENCIA DE 2DA INSTANCIA FAVORABLE A LA CORPORACION NOS EXCLUYEN DE LA COFINANCIACION Y MODIFICAN LAS OBLIGACIONES LAS CUALES SON DE ORDEN MISIONAL.</v>
      </c>
      <c r="P11" s="10">
        <f t="shared" si="0"/>
        <v>0</v>
      </c>
      <c r="Q11" s="2" t="str">
        <f t="shared" si="1"/>
        <v>NA</v>
      </c>
      <c r="R11" s="2">
        <f t="shared" si="2"/>
        <v>0</v>
      </c>
    </row>
    <row r="12" spans="1:18" s="2" customFormat="1" ht="38.25" x14ac:dyDescent="0.2">
      <c r="A12" s="7">
        <v>11</v>
      </c>
      <c r="B12" s="7" t="s">
        <v>13</v>
      </c>
      <c r="C12" s="7" t="str">
        <f>+[11]RESUMEN!$B$5</f>
        <v>2014 - 230</v>
      </c>
      <c r="D12" s="7" t="str">
        <f>+[11]RESUMEN!$B$6</f>
        <v>POPULAR</v>
      </c>
      <c r="E12" s="7" t="str">
        <f>+[11]RESUMEN!$B$7</f>
        <v>PROCURADURIA AMBIENTAL</v>
      </c>
      <c r="F12" s="7">
        <f>+[11]RESUMEN!$B$8</f>
        <v>830095213</v>
      </c>
      <c r="G12" s="7"/>
      <c r="H12" s="7" t="str">
        <f>+[11]RESUMEN!$B$9</f>
        <v>CASANARE, YOPAL, EAAAY y CORPORACION</v>
      </c>
      <c r="I12" s="8">
        <f>+[11]RESUMEN!$B$11</f>
        <v>46014830.349435203</v>
      </c>
      <c r="J12" s="7" t="str">
        <f>+[11]RESUMEN!$B$12</f>
        <v>Provisión contable</v>
      </c>
      <c r="K12" s="9">
        <f>+[11]RESUMEN!$B$13</f>
        <v>41913</v>
      </c>
      <c r="L12" s="9">
        <f>+[11]RESUMEN!$B$15</f>
        <v>43008</v>
      </c>
      <c r="M12" s="7" t="str">
        <f>+[11]RESUMEN!$B$10</f>
        <v xml:space="preserve">PRUEBAS </v>
      </c>
      <c r="N12" s="7">
        <f>+[11]RESUMEN!$A$20</f>
        <v>0</v>
      </c>
      <c r="P12" s="10">
        <f t="shared" si="0"/>
        <v>0</v>
      </c>
      <c r="Q12" s="2">
        <f t="shared" si="1"/>
        <v>46014830.349435203</v>
      </c>
      <c r="R12" s="2">
        <f t="shared" si="2"/>
        <v>0</v>
      </c>
    </row>
    <row r="13" spans="1:18" s="2" customFormat="1" ht="38.25" x14ac:dyDescent="0.2">
      <c r="A13" s="7">
        <v>12</v>
      </c>
      <c r="B13" s="7" t="s">
        <v>13</v>
      </c>
      <c r="C13" s="7" t="str">
        <f>+[12]RESUMEN!$B$5</f>
        <v>2014 - 218</v>
      </c>
      <c r="D13" s="7" t="str">
        <f>+[12]RESUMEN!$B$6</f>
        <v>POPULAR</v>
      </c>
      <c r="E13" s="7" t="str">
        <f>+[12]RESUMEN!$B$7</f>
        <v>PROCURADURIA AMBIENTAL</v>
      </c>
      <c r="F13" s="7">
        <f>+[12]RESUMEN!$B$8</f>
        <v>830095213</v>
      </c>
      <c r="G13" s="7"/>
      <c r="H13" s="7" t="str">
        <f>+[12]RESUMEN!$B$9</f>
        <v>ANLA, CORPORACION, ORUCUE Y PAREX</v>
      </c>
      <c r="I13" s="8">
        <f>+[12]RESUMEN!$B$11</f>
        <v>46014830.349435203</v>
      </c>
      <c r="J13" s="7" t="str">
        <f>+[12]RESUMEN!$B$12</f>
        <v>Provisión contable</v>
      </c>
      <c r="K13" s="9">
        <f>+[12]RESUMEN!$B$13</f>
        <v>41852</v>
      </c>
      <c r="L13" s="9">
        <f>+[12]RESUMEN!$B$15</f>
        <v>42947</v>
      </c>
      <c r="M13" s="7" t="str">
        <f>+[12]RESUMEN!$B$10</f>
        <v xml:space="preserve">PRUEBAS </v>
      </c>
      <c r="N13" s="7">
        <f>+[12]RESUMEN!$A$20</f>
        <v>0</v>
      </c>
      <c r="P13" s="10">
        <f t="shared" si="0"/>
        <v>0</v>
      </c>
      <c r="Q13" s="2">
        <f t="shared" si="1"/>
        <v>46014830.349435203</v>
      </c>
      <c r="R13" s="2">
        <f t="shared" si="2"/>
        <v>0</v>
      </c>
    </row>
    <row r="14" spans="1:18" s="2" customFormat="1" ht="38.25" x14ac:dyDescent="0.2">
      <c r="A14" s="7">
        <v>13</v>
      </c>
      <c r="B14" s="7" t="s">
        <v>13</v>
      </c>
      <c r="C14" s="7" t="str">
        <f>+[13]RESUMEN!$B$5</f>
        <v>2014 - 186</v>
      </c>
      <c r="D14" s="7" t="str">
        <f>+[13]RESUMEN!$B$6</f>
        <v>POPULAR</v>
      </c>
      <c r="E14" s="7" t="str">
        <f>+[13]RESUMEN!$B$7</f>
        <v>PROCURADURIA AMBIENTAL</v>
      </c>
      <c r="F14" s="7">
        <f>+[13]RESUMEN!$B$8</f>
        <v>830095213</v>
      </c>
      <c r="G14" s="7"/>
      <c r="H14" s="7" t="str">
        <f>+[13]RESUMEN!$B$9</f>
        <v>ANLA Y CORPORACION</v>
      </c>
      <c r="I14" s="8">
        <f>+[13]RESUMEN!$B$11</f>
        <v>37550140.077389672</v>
      </c>
      <c r="J14" s="7" t="str">
        <f>+[13]RESUMEN!$B$12</f>
        <v>Provisión contable</v>
      </c>
      <c r="K14" s="9">
        <f>+[13]RESUMEN!$B$13</f>
        <v>41852</v>
      </c>
      <c r="L14" s="9">
        <f>+[13]RESUMEN!$B$15</f>
        <v>42947</v>
      </c>
      <c r="M14" s="7" t="str">
        <f>+[13]RESUMEN!$B$10</f>
        <v xml:space="preserve">PRUEBAS </v>
      </c>
      <c r="N14" s="7">
        <f>+[13]RESUMEN!$A$20</f>
        <v>0</v>
      </c>
      <c r="P14" s="10">
        <f t="shared" si="0"/>
        <v>0</v>
      </c>
      <c r="Q14" s="2">
        <f t="shared" si="1"/>
        <v>37550140.077389672</v>
      </c>
      <c r="R14" s="2">
        <f t="shared" si="2"/>
        <v>0</v>
      </c>
    </row>
    <row r="15" spans="1:18" s="2" customFormat="1" ht="38.25" x14ac:dyDescent="0.2">
      <c r="A15" s="7">
        <v>14</v>
      </c>
      <c r="B15" s="7" t="s">
        <v>13</v>
      </c>
      <c r="C15" s="7" t="str">
        <f>+[14]RESUMEN!$B$5</f>
        <v>2014 - 162</v>
      </c>
      <c r="D15" s="7" t="str">
        <f>+[14]RESUMEN!$B$6</f>
        <v>POPULAR</v>
      </c>
      <c r="E15" s="7" t="str">
        <f>+[14]RESUMEN!$B$7</f>
        <v>PROCURADURIA AMBIENTAL</v>
      </c>
      <c r="F15" s="7">
        <f>+[14]RESUMEN!$B$8</f>
        <v>830095213</v>
      </c>
      <c r="G15" s="7"/>
      <c r="H15" s="7" t="str">
        <f>+[14]RESUMEN!$B$9</f>
        <v>CORPORACION, CASANARE, TAURAMENA Y OTROS</v>
      </c>
      <c r="I15" s="8">
        <f>+[14]RESUMEN!$B$11</f>
        <v>20546303.061213214</v>
      </c>
      <c r="J15" s="7" t="str">
        <f>+[14]RESUMEN!$B$12</f>
        <v>Provisión contable</v>
      </c>
      <c r="K15" s="9">
        <f>+[14]RESUMEN!$B$13</f>
        <v>41852</v>
      </c>
      <c r="L15" s="9">
        <f>+[14]RESUMEN!$B$15</f>
        <v>42947</v>
      </c>
      <c r="M15" s="7" t="str">
        <f>+[14]RESUMEN!$B$10</f>
        <v>PRUEBAS (inspección judicial)</v>
      </c>
      <c r="N15" s="7">
        <f>+[14]RESUMEN!$A$20</f>
        <v>0</v>
      </c>
      <c r="P15" s="10">
        <f t="shared" si="0"/>
        <v>0</v>
      </c>
      <c r="Q15" s="2">
        <f t="shared" si="1"/>
        <v>20546303.061213214</v>
      </c>
      <c r="R15" s="2">
        <f t="shared" si="2"/>
        <v>0</v>
      </c>
    </row>
    <row r="16" spans="1:18" s="2" customFormat="1" ht="38.25" x14ac:dyDescent="0.2">
      <c r="A16" s="7">
        <v>15</v>
      </c>
      <c r="B16" s="7" t="s">
        <v>13</v>
      </c>
      <c r="C16" s="7" t="str">
        <f>+[15]RESUMEN!$B$5</f>
        <v>2014 - 00034</v>
      </c>
      <c r="D16" s="7" t="str">
        <f>+[15]RESUMEN!$B$6</f>
        <v>POPULAR</v>
      </c>
      <c r="E16" s="7" t="str">
        <f>+[15]RESUMEN!$B$7</f>
        <v>PROCURADURIA AMBIENTAL</v>
      </c>
      <c r="F16" s="7">
        <f>+[15]RESUMEN!$B$8</f>
        <v>830095213</v>
      </c>
      <c r="G16" s="7"/>
      <c r="H16" s="7" t="str">
        <f>+[15]RESUMEN!$B$9</f>
        <v>MANI, CASANARE ACUATODOS Y CORPORACION</v>
      </c>
      <c r="I16" s="8">
        <f>+[15]RESUMEN!$B$11</f>
        <v>20833173.562400084</v>
      </c>
      <c r="J16" s="7" t="str">
        <f>+[15]RESUMEN!$B$12</f>
        <v>Provisión contable</v>
      </c>
      <c r="K16" s="9">
        <f>+[15]RESUMEN!$B$13</f>
        <v>41699</v>
      </c>
      <c r="L16" s="9">
        <f>+[15]RESUMEN!$B$15</f>
        <v>42794</v>
      </c>
      <c r="M16" s="7" t="str">
        <f>+[15]RESUMEN!$B$10</f>
        <v>PRUEBAS (inspección judicial)</v>
      </c>
      <c r="N16" s="7">
        <f>+[15]RESUMEN!$A$20</f>
        <v>0</v>
      </c>
      <c r="P16" s="10">
        <f t="shared" si="0"/>
        <v>0</v>
      </c>
      <c r="Q16" s="2">
        <f t="shared" si="1"/>
        <v>20833173.562400084</v>
      </c>
      <c r="R16" s="2">
        <f t="shared" si="2"/>
        <v>0</v>
      </c>
    </row>
    <row r="17" spans="1:18" s="2" customFormat="1" ht="38.25" x14ac:dyDescent="0.2">
      <c r="A17" s="7">
        <v>16</v>
      </c>
      <c r="B17" s="7" t="s">
        <v>13</v>
      </c>
      <c r="C17" s="7" t="str">
        <f>+[16]RESUMEN!$B$5</f>
        <v>2013 - 144</v>
      </c>
      <c r="D17" s="7" t="str">
        <f>+[16]RESUMEN!$B$6</f>
        <v>POPULAR</v>
      </c>
      <c r="E17" s="7" t="str">
        <f>+[16]RESUMEN!$B$7</f>
        <v>PROCURADURIA AMBIENTAL</v>
      </c>
      <c r="F17" s="7">
        <f>+[16]RESUMEN!$B$8</f>
        <v>830095213</v>
      </c>
      <c r="G17" s="7"/>
      <c r="H17" s="7" t="str">
        <f>+[16]RESUMEN!$B$9</f>
        <v>CORPORACION, CASANARE, EAAAY Y YOPAL</v>
      </c>
      <c r="I17" s="8">
        <f>+[16]RESUMEN!$B$11</f>
        <v>52321092.519200243</v>
      </c>
      <c r="J17" s="7" t="str">
        <f>+[16]RESUMEN!$B$12</f>
        <v>Provisión contable</v>
      </c>
      <c r="K17" s="9">
        <f>+[16]RESUMEN!$B$13</f>
        <v>41456</v>
      </c>
      <c r="L17" s="9">
        <f>+[16]RESUMEN!$B$15</f>
        <v>41456</v>
      </c>
      <c r="M17" s="7" t="str">
        <f>+[16]RESUMEN!$B$10</f>
        <v>APELACION</v>
      </c>
      <c r="N17" s="7">
        <f>+[16]RESUMEN!$A$20</f>
        <v>0</v>
      </c>
      <c r="P17" s="10">
        <f t="shared" si="0"/>
        <v>0</v>
      </c>
      <c r="Q17" s="2">
        <f t="shared" si="1"/>
        <v>52321092.519200243</v>
      </c>
      <c r="R17" s="2">
        <f t="shared" si="2"/>
        <v>0</v>
      </c>
    </row>
    <row r="18" spans="1:18" s="2" customFormat="1" ht="38.25" x14ac:dyDescent="0.2">
      <c r="A18" s="7">
        <v>17</v>
      </c>
      <c r="B18" s="7" t="s">
        <v>13</v>
      </c>
      <c r="C18" s="7" t="str">
        <f>+[17]RESUMEN!$B$5</f>
        <v>2011 - 212</v>
      </c>
      <c r="D18" s="7" t="str">
        <f>+[17]RESUMEN!$B$6</f>
        <v>POPULAR</v>
      </c>
      <c r="E18" s="7" t="str">
        <f>+[17]RESUMEN!$B$7</f>
        <v>GUSTAVO MELO TORRES</v>
      </c>
      <c r="F18" s="7">
        <f>+[17]RESUMEN!$B$8</f>
        <v>4076691</v>
      </c>
      <c r="G18" s="7"/>
      <c r="H18" s="7" t="str">
        <f>+[17]RESUMEN!$B$9</f>
        <v>CORPORINOQUIA, CASANARE Y SABANALARGA</v>
      </c>
      <c r="I18" s="8">
        <f>+[17]RESUMEN!$B$11</f>
        <v>14364160.987754114</v>
      </c>
      <c r="J18" s="7" t="str">
        <f>+[17]RESUMEN!$B$12</f>
        <v>Provisión contable</v>
      </c>
      <c r="K18" s="9">
        <f>+[17]RESUMEN!$B$13</f>
        <v>40909</v>
      </c>
      <c r="L18" s="9">
        <f>+[17]RESUMEN!$B$15</f>
        <v>41639</v>
      </c>
      <c r="M18" s="7" t="str">
        <f>+[17]RESUMEN!$B$10</f>
        <v>APELACION</v>
      </c>
      <c r="N18" s="7">
        <f>+[17]RESUMEN!$A$20</f>
        <v>0</v>
      </c>
      <c r="P18" s="10">
        <f t="shared" si="0"/>
        <v>0</v>
      </c>
      <c r="Q18" s="2">
        <f t="shared" si="1"/>
        <v>14364160.987754114</v>
      </c>
      <c r="R18" s="2">
        <f t="shared" si="2"/>
        <v>0</v>
      </c>
    </row>
    <row r="19" spans="1:18" s="2" customFormat="1" ht="38.25" x14ac:dyDescent="0.2">
      <c r="A19" s="7">
        <v>18</v>
      </c>
      <c r="B19" s="7" t="s">
        <v>13</v>
      </c>
      <c r="C19" s="7" t="str">
        <f>+[18]RESUMEN!$B$5</f>
        <v>2011 - 00033</v>
      </c>
      <c r="D19" s="7" t="str">
        <f>+[18]RESUMEN!$B$6</f>
        <v>POPULAR</v>
      </c>
      <c r="E19" s="7" t="str">
        <f>+[18]RESUMEN!$B$7</f>
        <v xml:space="preserve">MARCO JULIO UNIVIO </v>
      </c>
      <c r="F19" s="7">
        <f>+[18]RESUMEN!$B$8</f>
        <v>6748045</v>
      </c>
      <c r="G19" s="7"/>
      <c r="H19" s="7" t="str">
        <f>+[18]RESUMEN!$B$9</f>
        <v xml:space="preserve">CORPORINOQUIA, CASANARE Y YOPAL </v>
      </c>
      <c r="I19" s="8">
        <f>+[18]RESUMEN!$B$11</f>
        <v>25275888.22258769</v>
      </c>
      <c r="J19" s="7" t="str">
        <f>+[18]RESUMEN!$B$12</f>
        <v>Cuentas de orden</v>
      </c>
      <c r="K19" s="9">
        <f>+[18]RESUMEN!$B$13</f>
        <v>42430</v>
      </c>
      <c r="L19" s="9">
        <f>+[18]RESUMEN!$B$15</f>
        <v>43160</v>
      </c>
      <c r="M19" s="7" t="str">
        <f>+[18]RESUMEN!$B$10</f>
        <v>APELACION</v>
      </c>
      <c r="N19" s="7" t="str">
        <f>+[18]RESUMEN!$A$20</f>
        <v>La estamiación de la pretensión peude ser menor o mayor en la medida que el Consejo de Estado lo estime al decidir la apelación.</v>
      </c>
      <c r="P19" s="10">
        <f t="shared" si="0"/>
        <v>0</v>
      </c>
      <c r="Q19" s="2">
        <f t="shared" si="1"/>
        <v>0</v>
      </c>
      <c r="R19" s="2">
        <f t="shared" si="2"/>
        <v>25275888.22258769</v>
      </c>
    </row>
    <row r="20" spans="1:18" s="2" customFormat="1" ht="38.25" x14ac:dyDescent="0.2">
      <c r="A20" s="7">
        <v>19</v>
      </c>
      <c r="B20" s="7" t="s">
        <v>13</v>
      </c>
      <c r="C20" s="7" t="str">
        <f>+[19]RESUMEN!$B$5</f>
        <v>2010 - 209</v>
      </c>
      <c r="D20" s="7" t="str">
        <f>+[19]RESUMEN!$B$6</f>
        <v>POPULAR</v>
      </c>
      <c r="E20" s="7" t="str">
        <f>+[19]RESUMEN!$B$7</f>
        <v xml:space="preserve">PROCURADURIA AMBIENTAL </v>
      </c>
      <c r="F20" s="7">
        <f>+[19]RESUMEN!$B$8</f>
        <v>830095213</v>
      </c>
      <c r="G20" s="7"/>
      <c r="H20" s="7" t="str">
        <f>+[19]RESUMEN!$B$9</f>
        <v>YOPAL, CORPORACION Y EDGAR TORO SAENZ</v>
      </c>
      <c r="I20" s="8">
        <f>+[19]RESUMEN!$B$11</f>
        <v>10798517.505531024</v>
      </c>
      <c r="J20" s="7" t="str">
        <f>+[19]RESUMEN!$B$12</f>
        <v>Provisión contable</v>
      </c>
      <c r="K20" s="9">
        <f>+[19]RESUMEN!$B$13</f>
        <v>40360</v>
      </c>
      <c r="L20" s="9">
        <f>+[19]RESUMEN!$B$15</f>
        <v>41090</v>
      </c>
      <c r="M20" s="7" t="str">
        <f>+[19]RESUMEN!$B$10</f>
        <v>APELACION</v>
      </c>
      <c r="N20" s="7" t="str">
        <f>+[19]RESUMEN!$A$20</f>
        <v>El 13/11/12 se genera decisión de segunda instancia, en este momento se encuentra en verificación.</v>
      </c>
      <c r="P20" s="10">
        <f t="shared" si="0"/>
        <v>0</v>
      </c>
      <c r="Q20" s="2">
        <f t="shared" si="1"/>
        <v>10798517.505531024</v>
      </c>
      <c r="R20" s="2">
        <f t="shared" si="2"/>
        <v>0</v>
      </c>
    </row>
    <row r="21" spans="1:18" s="2" customFormat="1" ht="63.75" x14ac:dyDescent="0.2">
      <c r="A21" s="7">
        <v>20</v>
      </c>
      <c r="B21" s="7" t="s">
        <v>13</v>
      </c>
      <c r="C21" s="7" t="str">
        <f>+[20]RESUMEN!$B$5</f>
        <v>2008 - 00036</v>
      </c>
      <c r="D21" s="7" t="str">
        <f>+[20]RESUMEN!$B$6</f>
        <v>POPULAR</v>
      </c>
      <c r="E21" s="7" t="str">
        <f>+[20]RESUMEN!$B$7</f>
        <v>HENRY DE DIOS ORTIZ</v>
      </c>
      <c r="F21" s="7">
        <f>+[20]RESUMEN!$B$8</f>
        <v>74862550</v>
      </c>
      <c r="G21" s="7"/>
      <c r="H21" s="7" t="str">
        <f>+[20]RESUMEN!$B$9</f>
        <v>PORE, CORPORACION Y CASANARE</v>
      </c>
      <c r="I21" s="8">
        <f>+[20]RESUMEN!$B$11</f>
        <v>38578686.151937976</v>
      </c>
      <c r="J21" s="7" t="str">
        <f>+[20]RESUMEN!$B$12</f>
        <v>Cuentas de orden</v>
      </c>
      <c r="K21" s="9">
        <f>+[20]RESUMEN!$B$13</f>
        <v>39508</v>
      </c>
      <c r="L21" s="9">
        <f>+[20]RESUMEN!$B$15</f>
        <v>39508</v>
      </c>
      <c r="M21" s="7" t="str">
        <f>+[20]RESUMEN!$B$10</f>
        <v>VERIFICACION SENTENCIA</v>
      </c>
      <c r="N21" s="7" t="str">
        <f>+[20]RESUMEN!$A$20</f>
        <v>Para este caso concreto hay que aclarar que el proceso ya tiene fallo de segunda instancia desde el 13/08/09, y desde esa fecha hasta la actual, el Juzgado viene haciendo verificación de sentencia hasta el archivo del proceso.</v>
      </c>
      <c r="P21" s="10">
        <f t="shared" si="0"/>
        <v>0</v>
      </c>
      <c r="Q21" s="2">
        <f t="shared" si="1"/>
        <v>0</v>
      </c>
      <c r="R21" s="2">
        <f t="shared" si="2"/>
        <v>38578686.151937976</v>
      </c>
    </row>
    <row r="22" spans="1:18" s="2" customFormat="1" ht="51" x14ac:dyDescent="0.2">
      <c r="A22" s="7">
        <v>21</v>
      </c>
      <c r="B22" s="7" t="s">
        <v>14</v>
      </c>
      <c r="C22" s="7" t="str">
        <f>+[21]RESUMEN!$B$5</f>
        <v>2017 - 0235</v>
      </c>
      <c r="D22" s="7" t="str">
        <f>+[21]RESUMEN!$B$6</f>
        <v>REPARACION DIRECTA</v>
      </c>
      <c r="E22" s="7" t="str">
        <f>+[21]RESUMEN!$B$7</f>
        <v>KAROL ANDREA FLOREZ VILLALOBOS Y OTROS</v>
      </c>
      <c r="F22" s="7">
        <f>+[21]RESUMEN!$B$8</f>
        <v>1068973974</v>
      </c>
      <c r="G22" s="7"/>
      <c r="H22" s="7" t="str">
        <f>+[21]RESUMEN!$B$9</f>
        <v>MUNICIPIO DE UBAQUE Y CORPORINOQUIA</v>
      </c>
      <c r="I22" s="8">
        <f>+[21]RESUMEN!$B$11</f>
        <v>351870286.79283828</v>
      </c>
      <c r="J22" s="7" t="str">
        <f>+[21]RESUMEN!$B$12</f>
        <v>Provisión contable</v>
      </c>
      <c r="K22" s="9">
        <f>+[21]RESUMEN!$B$13</f>
        <v>43054</v>
      </c>
      <c r="L22" s="9">
        <f>+[21]RESUMEN!$B$15</f>
        <v>44514</v>
      </c>
      <c r="M22" s="7" t="str">
        <f>+[21]RESUMEN!$B$10</f>
        <v>TRASLADO CONTESTACIÓN DEMANDA</v>
      </c>
      <c r="N22" s="7">
        <f>+[21]RESUMEN!$A$20</f>
        <v>0</v>
      </c>
      <c r="P22" s="10">
        <f t="shared" ref="P22" si="9">+IF($J22="No se registra",I22,0)</f>
        <v>0</v>
      </c>
      <c r="Q22" s="2">
        <f t="shared" ref="Q22" si="10">+IF($J22="Provisión contable",I22,0)</f>
        <v>351870286.79283828</v>
      </c>
      <c r="R22" s="2">
        <f t="shared" ref="R22" si="11">+IF($J22="Cuentas de orden",I22,0)</f>
        <v>0</v>
      </c>
    </row>
    <row r="23" spans="1:18" s="2" customFormat="1" ht="51" x14ac:dyDescent="0.2">
      <c r="A23" s="7">
        <v>22</v>
      </c>
      <c r="B23" s="7" t="s">
        <v>14</v>
      </c>
      <c r="C23" s="7" t="str">
        <f>+[22]RESUMEN!$B$5</f>
        <v>2016 - 02199</v>
      </c>
      <c r="D23" s="7" t="str">
        <f>+[22]RESUMEN!$B$6</f>
        <v>POPULAR</v>
      </c>
      <c r="E23" s="7" t="str">
        <f>+[22]RESUMEN!$B$7</f>
        <v>SAUL CALDERON Y OTROS</v>
      </c>
      <c r="F23" s="7">
        <f>+[22]RESUMEN!$B$8</f>
        <v>3080318</v>
      </c>
      <c r="G23" s="7"/>
      <c r="H23" s="7" t="str">
        <f>+[22]RESUMEN!$B$9</f>
        <v>AGENCIA NACIONAL DE INFRAESTRUCTURA, ANLA Y CORPORINOQUIA .</v>
      </c>
      <c r="I23" s="8">
        <f>+[22]RESUMEN!$B$11</f>
        <v>13247792.312571295</v>
      </c>
      <c r="J23" s="7" t="str">
        <f>+[22]RESUMEN!$B$12</f>
        <v>Cuentas de orden</v>
      </c>
      <c r="K23" s="9">
        <f>+[22]RESUMEN!$B$13</f>
        <v>42702</v>
      </c>
      <c r="L23" s="9">
        <f>+[22]RESUMEN!$B$15</f>
        <v>44162</v>
      </c>
      <c r="M23" s="7" t="str">
        <f>+[22]RESUMEN!$B$10</f>
        <v>CONTESTACIÓN DEMANDA</v>
      </c>
      <c r="N23" s="7">
        <f>+[22]RESUMEN!$A$20</f>
        <v>0</v>
      </c>
      <c r="P23" s="10">
        <f t="shared" ref="P23:P29" si="12">+IF($J23="No se registra",I23,0)</f>
        <v>0</v>
      </c>
      <c r="Q23" s="2">
        <f t="shared" ref="Q23:Q29" si="13">+IF($J23="Provisión contable",I23,0)</f>
        <v>0</v>
      </c>
      <c r="R23" s="2">
        <f t="shared" ref="R23:R29" si="14">+IF($J23="Cuentas de orden",I23,0)</f>
        <v>13247792.312571295</v>
      </c>
    </row>
    <row r="24" spans="1:18" s="2" customFormat="1" ht="51" x14ac:dyDescent="0.2">
      <c r="A24" s="7">
        <v>23</v>
      </c>
      <c r="B24" s="7" t="s">
        <v>14</v>
      </c>
      <c r="C24" s="7" t="str">
        <f>+[23]RESUMEN!$B$5</f>
        <v>2013 - 00518</v>
      </c>
      <c r="D24" s="7" t="str">
        <f>+[23]RESUMEN!$B$6</f>
        <v>POPULAR</v>
      </c>
      <c r="E24" s="7" t="str">
        <f>+[23]RESUMEN!$B$7</f>
        <v>ARLEY BERNAL Y OTROS</v>
      </c>
      <c r="F24" s="7">
        <f>+[23]RESUMEN!$B$8</f>
        <v>97613734</v>
      </c>
      <c r="G24" s="7"/>
      <c r="H24" s="7" t="str">
        <f>+[23]RESUMEN!$B$9</f>
        <v>MUNICIPIO DE PUERTO CARREÑO Y CORPORINOQUIA.</v>
      </c>
      <c r="I24" s="8">
        <f>+[23]RESUMEN!$B$11</f>
        <v>9965449.1826916505</v>
      </c>
      <c r="J24" s="7" t="str">
        <f>+[23]RESUMEN!$B$12</f>
        <v>Provisión contable</v>
      </c>
      <c r="K24" s="9">
        <f>+[23]RESUMEN!$B$13</f>
        <v>41617</v>
      </c>
      <c r="L24" s="9">
        <f>+[23]RESUMEN!$B$15</f>
        <v>43564</v>
      </c>
      <c r="M24" s="7" t="str">
        <f>+[23]RESUMEN!$B$10</f>
        <v>APELACION DE SENTENCIA</v>
      </c>
      <c r="N24" s="7">
        <f>+[23]RESUMEN!$A$20</f>
        <v>0</v>
      </c>
      <c r="P24" s="10">
        <f t="shared" si="12"/>
        <v>0</v>
      </c>
      <c r="Q24" s="2">
        <f t="shared" si="13"/>
        <v>9965449.1826916505</v>
      </c>
      <c r="R24" s="2">
        <f t="shared" si="14"/>
        <v>0</v>
      </c>
    </row>
    <row r="25" spans="1:18" s="2" customFormat="1" ht="51" x14ac:dyDescent="0.2">
      <c r="A25" s="7">
        <v>24</v>
      </c>
      <c r="B25" s="7" t="s">
        <v>14</v>
      </c>
      <c r="C25" s="7" t="str">
        <f>+[24]RESUMEN!$B$5</f>
        <v>2011 - 00638</v>
      </c>
      <c r="D25" s="7" t="str">
        <f>+[24]RESUMEN!$B$6</f>
        <v>POPULAR</v>
      </c>
      <c r="E25" s="7" t="str">
        <f>+[24]RESUMEN!$B$7</f>
        <v>VICTOR JULIO SABOGAL</v>
      </c>
      <c r="F25" s="7">
        <f>+[24]RESUMEN!$B$8</f>
        <v>79275933</v>
      </c>
      <c r="G25" s="7"/>
      <c r="H25" s="7" t="str">
        <f>+[24]RESUMEN!$B$9</f>
        <v>CMUNICIPIO DE CHOACHI, CONSTRUCTORA AMADOR S.A.S. Y CORPORINOQUIA.</v>
      </c>
      <c r="I25" s="8">
        <f>+[24]RESUMEN!$B$11</f>
        <v>9334215.6317391228</v>
      </c>
      <c r="J25" s="7" t="str">
        <f>+[24]RESUMEN!$B$12</f>
        <v>Cuentas de orden</v>
      </c>
      <c r="K25" s="9">
        <f>+[24]RESUMEN!$B$13</f>
        <v>40953</v>
      </c>
      <c r="L25" s="9">
        <f>+[24]RESUMEN!$B$15</f>
        <v>43508</v>
      </c>
      <c r="M25" s="7" t="str">
        <f>+[24]RESUMEN!$B$10</f>
        <v>AL DESPACHO PARA SENTENCIA</v>
      </c>
      <c r="N25" s="7">
        <f>+[24]RESUMEN!$A$20</f>
        <v>0</v>
      </c>
      <c r="P25" s="10">
        <f t="shared" si="12"/>
        <v>0</v>
      </c>
      <c r="Q25" s="2">
        <f t="shared" si="13"/>
        <v>0</v>
      </c>
      <c r="R25" s="2">
        <f t="shared" si="14"/>
        <v>9334215.6317391228</v>
      </c>
    </row>
    <row r="26" spans="1:18" s="2" customFormat="1" ht="51" x14ac:dyDescent="0.2">
      <c r="A26" s="7">
        <v>25</v>
      </c>
      <c r="B26" s="7" t="s">
        <v>14</v>
      </c>
      <c r="C26" s="7" t="str">
        <f>+[25]RESUMEN!$B$5</f>
        <v>2010 - 00339</v>
      </c>
      <c r="D26" s="7" t="str">
        <f>+[25]RESUMEN!$B$6</f>
        <v>NULIDAD Y RESTABLECIMIENTO DEL DERECHO</v>
      </c>
      <c r="E26" s="7" t="str">
        <f>+[25]RESUMEN!$B$7</f>
        <v>INGRID MOLLER Y OTROS</v>
      </c>
      <c r="F26" s="7">
        <f>+[25]RESUMEN!$B$8</f>
        <v>41770978</v>
      </c>
      <c r="G26" s="7"/>
      <c r="H26" s="7" t="str">
        <f>+[25]RESUMEN!$B$9</f>
        <v>CORPORINOQUIA.</v>
      </c>
      <c r="I26" s="8">
        <f>+[25]RESUMEN!$B$11</f>
        <v>131594212.55017407</v>
      </c>
      <c r="J26" s="7" t="str">
        <f>+[25]RESUMEN!$B$12</f>
        <v>Cuentas de orden</v>
      </c>
      <c r="K26" s="9">
        <f>+[25]RESUMEN!$B$13</f>
        <v>40514</v>
      </c>
      <c r="L26" s="9">
        <f>+[25]RESUMEN!$B$15</f>
        <v>43799</v>
      </c>
      <c r="M26" s="7" t="str">
        <f>+[25]RESUMEN!$B$10</f>
        <v>APELACIÓN AUTO DE PRUEBAS</v>
      </c>
      <c r="N26" s="7">
        <f>+[25]RESUMEN!$A$20</f>
        <v>0</v>
      </c>
      <c r="P26" s="10">
        <f t="shared" si="12"/>
        <v>0</v>
      </c>
      <c r="Q26" s="2">
        <f t="shared" si="13"/>
        <v>0</v>
      </c>
      <c r="R26" s="2">
        <f t="shared" si="14"/>
        <v>131594212.55017407</v>
      </c>
    </row>
    <row r="27" spans="1:18" s="2" customFormat="1" ht="89.25" x14ac:dyDescent="0.2">
      <c r="A27" s="7">
        <v>26</v>
      </c>
      <c r="B27" s="7" t="s">
        <v>14</v>
      </c>
      <c r="C27" s="7" t="str">
        <f>+[26]RESUMEN!$B$5</f>
        <v>2010 - 00121</v>
      </c>
      <c r="D27" s="7" t="str">
        <f>+[26]RESUMEN!$B$6</f>
        <v>POPULAR</v>
      </c>
      <c r="E27" s="7" t="str">
        <f>+[26]RESUMEN!$B$7</f>
        <v>ROSANGELA HERNANDEZ DE IRIGUI Y OTROS</v>
      </c>
      <c r="F27" s="7">
        <f>+[26]RESUMEN!$B$8</f>
        <v>20436694</v>
      </c>
      <c r="G27" s="7"/>
      <c r="H27" s="7" t="str">
        <f>+[26]RESUMEN!$B$9</f>
        <v>MUNICIPIO DE CAQUEZA, DEPARTAMENTO DE CUNDINAMRCA, INGEOMINAS, CORPORINOQUIA Y MINISTERIO DE AMBIENTE Y DESARROLLO.</v>
      </c>
      <c r="I27" s="8">
        <f>+[26]RESUMEN!$B$11</f>
        <v>164750012.37440142</v>
      </c>
      <c r="J27" s="7" t="str">
        <f>+[26]RESUMEN!$B$12</f>
        <v>Cuentas de orden</v>
      </c>
      <c r="K27" s="9">
        <f>+[26]RESUMEN!$B$13</f>
        <v>40492</v>
      </c>
      <c r="L27" s="9">
        <f>+[26]RESUMEN!$B$15</f>
        <v>41587</v>
      </c>
      <c r="M27" s="7" t="str">
        <f>+[26]RESUMEN!$B$10</f>
        <v>VERIFICACIÓN SENTENCIA</v>
      </c>
      <c r="N27" s="7" t="str">
        <f>+[26]RESUMEN!$A$20</f>
        <v>Para este caso concreto hay que aclarar que el proceso ya tiene fallo de segunda instancia desde el 15/08/13, y desde esa fecha hasta la actual, el Juzgado viene haciendo verificación de sentencia.</v>
      </c>
      <c r="P27" s="10">
        <f t="shared" si="12"/>
        <v>0</v>
      </c>
      <c r="Q27" s="2">
        <f t="shared" si="13"/>
        <v>0</v>
      </c>
      <c r="R27" s="2">
        <f t="shared" si="14"/>
        <v>164750012.37440142</v>
      </c>
    </row>
    <row r="28" spans="1:18" s="2" customFormat="1" ht="51" x14ac:dyDescent="0.2">
      <c r="A28" s="7">
        <v>27</v>
      </c>
      <c r="B28" s="7" t="s">
        <v>14</v>
      </c>
      <c r="C28" s="7" t="str">
        <f>+[27]RESUMEN!$B$5</f>
        <v>2010-0078</v>
      </c>
      <c r="D28" s="7" t="str">
        <f>+[27]RESUMEN!$B$6</f>
        <v>POPULAR</v>
      </c>
      <c r="E28" s="7" t="str">
        <f>+[27]RESUMEN!$B$7</f>
        <v>NELSON GERMAN VELASQUEZ PAVON</v>
      </c>
      <c r="F28" s="7">
        <f>+[27]RESUMEN!$B$8</f>
        <v>19418909</v>
      </c>
      <c r="G28" s="7"/>
      <c r="H28" s="7" t="str">
        <f>+[27]RESUMEN!$B$9</f>
        <v>CORPORINOQUIA- MUNICIPIO DE CASANARE Y OTRO</v>
      </c>
      <c r="I28" s="8">
        <f>+[27]RESUMEN!$B$11</f>
        <v>15156889.284752274</v>
      </c>
      <c r="J28" s="7" t="str">
        <f>+[27]RESUMEN!$B$12</f>
        <v>Cuentas de orden</v>
      </c>
      <c r="K28" s="9">
        <f>+[27]RESUMEN!$B$13</f>
        <v>40242</v>
      </c>
      <c r="L28" s="9">
        <f>+[27]RESUMEN!$B$15</f>
        <v>43527</v>
      </c>
      <c r="M28" s="7" t="str">
        <f>+[27]RESUMEN!$B$10</f>
        <v>PRUEBAS</v>
      </c>
      <c r="N28" s="7">
        <f>+[27]RESUMEN!$A$20</f>
        <v>0</v>
      </c>
      <c r="P28" s="10">
        <f t="shared" si="12"/>
        <v>0</v>
      </c>
      <c r="Q28" s="2">
        <f t="shared" si="13"/>
        <v>0</v>
      </c>
      <c r="R28" s="2">
        <f t="shared" si="14"/>
        <v>15156889.284752274</v>
      </c>
    </row>
    <row r="29" spans="1:18" s="2" customFormat="1" ht="127.5" x14ac:dyDescent="0.2">
      <c r="A29" s="7">
        <v>28</v>
      </c>
      <c r="B29" s="7" t="s">
        <v>14</v>
      </c>
      <c r="C29" s="7" t="str">
        <f>+[28]RESUMEN!$B$5</f>
        <v>2007-0588</v>
      </c>
      <c r="D29" s="7" t="str">
        <f>+[28]RESUMEN!$B$6</f>
        <v>DE GRUPO</v>
      </c>
      <c r="E29" s="7" t="str">
        <f>+[28]RESUMEN!$B$7</f>
        <v>JOSE ISMAEL HERNANDEZ HERRERA Y OTROS</v>
      </c>
      <c r="F29" s="7">
        <f>+[28]RESUMEN!$B$8</f>
        <v>11405128</v>
      </c>
      <c r="G29" s="7"/>
      <c r="H29" s="7" t="str">
        <f>+[28]RESUMEN!$B$9</f>
        <v>MURILLO LOBO - GERRERO - INGENIEROS -S-A, NACIÓN INSTITUTO NACIONAL DE INVIAS Y CORPORINOQUIA.</v>
      </c>
      <c r="I29" s="8">
        <f>+[28]RESUMEN!$B$11</f>
        <v>6494488.5386814484</v>
      </c>
      <c r="J29" s="7" t="str">
        <f>+[28]RESUMEN!$B$12</f>
        <v>Cuentas de orden</v>
      </c>
      <c r="K29" s="9">
        <f>+[28]RESUMEN!$B$13</f>
        <v>39393</v>
      </c>
      <c r="L29" s="9">
        <f>+[28]RESUMEN!$B$15</f>
        <v>41218</v>
      </c>
      <c r="M29" s="7" t="str">
        <f>+[28]RESUMEN!$B$10</f>
        <v>VERIFICACIÓN SENTENCIA</v>
      </c>
      <c r="N29" s="7" t="str">
        <f>+[28]RESUMEN!$A$20</f>
        <v>Para este caso concreto hay que aclarar que el proceso ya tiene fallo de segunda instancia desde el 24/10/12, fallo que fue en sentido solidario a todos los demandados, motivo por el cual INVIAS pago la totalidad de la condena, para después efectuar el cobro a la Corporación, pero el mencionado cobro fue parcial motivo por el cual a la fecha de hoy queda pendiente por pago a INVIAS la suma de ($14.656.251) M/CTE, para completar el 33,33%, que le corresponde del total de la sentencia.</v>
      </c>
      <c r="O29" s="20"/>
      <c r="P29" s="10">
        <f t="shared" si="12"/>
        <v>0</v>
      </c>
      <c r="Q29" s="2">
        <f t="shared" si="13"/>
        <v>0</v>
      </c>
      <c r="R29" s="2">
        <f t="shared" si="14"/>
        <v>6494488.5386814484</v>
      </c>
    </row>
    <row r="30" spans="1:18" s="2" customFormat="1" ht="51" x14ac:dyDescent="0.2">
      <c r="A30" s="7">
        <v>29</v>
      </c>
      <c r="B30" s="7" t="s">
        <v>14</v>
      </c>
      <c r="C30" s="7" t="str">
        <f>+[29]RESUMEN!$B$5</f>
        <v>2017-0398</v>
      </c>
      <c r="D30" s="7" t="str">
        <f>+[29]RESUMEN!$B$6</f>
        <v>REPARACIÓN DIRECTA</v>
      </c>
      <c r="E30" s="7" t="str">
        <f>+[29]RESUMEN!$B$7</f>
        <v xml:space="preserve">ALIX MARIA SANTANDER FLOREZ </v>
      </c>
      <c r="F30" s="7">
        <f>+[29]RESUMEN!$B$8</f>
        <v>33515561</v>
      </c>
      <c r="G30" s="7"/>
      <c r="H30" s="7" t="str">
        <f>+[29]RESUMEN!$B$9</f>
        <v>MUNICIPIO DE CUBARA, CORPORINOQUIA Y DEPARATAMENTO DE BOYACÁ</v>
      </c>
      <c r="I30" s="8">
        <f>+[29]RESUMEN!$B$11</f>
        <v>1828800000</v>
      </c>
      <c r="J30" s="7" t="str">
        <f>+[29]RESUMEN!$B$12</f>
        <v>Cuentas de orden</v>
      </c>
      <c r="K30" s="9">
        <f>+[29]RESUMEN!$B$13</f>
        <v>42943</v>
      </c>
      <c r="L30" s="9">
        <f>+[29]RESUMEN!$B$15</f>
        <v>43419</v>
      </c>
      <c r="M30" s="7" t="str">
        <f>+[29]RESUMEN!$B$10</f>
        <v xml:space="preserve">CONTESTACIÓN DE DEMANDA </v>
      </c>
      <c r="N30" s="7">
        <f>+[29]RESUMEN!$A$20</f>
        <v>0</v>
      </c>
      <c r="O30" s="20"/>
      <c r="P30" s="10">
        <f t="shared" ref="P30" si="15">+IF($J30="No se registra",I30,0)</f>
        <v>0</v>
      </c>
      <c r="Q30" s="2">
        <f t="shared" ref="Q30" si="16">+IF($J30="Provisión contable",I30,0)</f>
        <v>0</v>
      </c>
      <c r="R30" s="2">
        <f t="shared" ref="R30" si="17">+IF($J30="Cuentas de orden",I30,0)</f>
        <v>1828800000</v>
      </c>
    </row>
    <row r="31" spans="1:18" s="2" customFormat="1" ht="38.25" x14ac:dyDescent="0.2">
      <c r="A31" s="7">
        <v>30</v>
      </c>
      <c r="B31" s="11" t="s">
        <v>15</v>
      </c>
      <c r="C31" s="11" t="str">
        <f>+[30]RESUMEN!$B$5</f>
        <v>2017-00027</v>
      </c>
      <c r="D31" s="11" t="str">
        <f>+[30]RESUMEN!$B$6</f>
        <v>NULIDAD Y RESTABLECIMIENTO</v>
      </c>
      <c r="E31" s="11" t="str">
        <f>+[30]RESUMEN!$B$7</f>
        <v>MARIA DE LOS ANGELES GALVIS FUENTES</v>
      </c>
      <c r="F31" s="11">
        <f>+[30]RESUMEN!$B$8</f>
        <v>47430596</v>
      </c>
      <c r="G31" s="11"/>
      <c r="H31" s="11" t="str">
        <f>+[30]RESUMEN!$B$9</f>
        <v>CORPORINOQUIA</v>
      </c>
      <c r="I31" s="12">
        <f>+[30]RESUMEN!$B$11</f>
        <v>46171045.91138082</v>
      </c>
      <c r="J31" s="11" t="str">
        <f>+[30]RESUMEN!$B$12</f>
        <v>Provisión contable</v>
      </c>
      <c r="K31" s="13">
        <f>+[30]RESUMEN!$B$13</f>
        <v>42908</v>
      </c>
      <c r="L31" s="13">
        <f>+[30]RESUMEN!$B$15</f>
        <v>43638</v>
      </c>
      <c r="M31" s="11" t="str">
        <f>+[30]RESUMEN!$B$10</f>
        <v>CONTESTA DEMANDA</v>
      </c>
      <c r="N31" s="11">
        <f>+[30]RESUMEN!$A$20</f>
        <v>0</v>
      </c>
      <c r="O31" s="20"/>
      <c r="P31" s="10"/>
    </row>
    <row r="32" spans="1:18" s="2" customFormat="1" ht="51" x14ac:dyDescent="0.2">
      <c r="A32" s="7">
        <v>31</v>
      </c>
      <c r="B32" s="11" t="s">
        <v>15</v>
      </c>
      <c r="C32" s="11" t="str">
        <f>+[31]RESUMEN!$B$5</f>
        <v>2016-218</v>
      </c>
      <c r="D32" s="11" t="str">
        <f>+[31]RESUMEN!$B$6</f>
        <v>NULIDAD Y RESTABLECIMIENTO DEL DERECHO</v>
      </c>
      <c r="E32" s="11" t="str">
        <f>+[31]RESUMEN!$B$7</f>
        <v>EMPRESA DE ACUEDUCTO  ALCANTARILLADO Y ASEO DE YOPAL E.A.A.A.Y</v>
      </c>
      <c r="F32" s="11">
        <f>+[31]RESUMEN!$B$8</f>
        <v>8440007554</v>
      </c>
      <c r="G32" s="11"/>
      <c r="H32" s="11" t="str">
        <f>+[31]RESUMEN!$B$9</f>
        <v>CORPORINOQUIA</v>
      </c>
      <c r="I32" s="12">
        <f>+[31]RESUMEN!$B$11</f>
        <v>399603289.32670248</v>
      </c>
      <c r="J32" s="11" t="str">
        <f>+[31]RESUMEN!$B$12</f>
        <v>Cuentas de orden</v>
      </c>
      <c r="K32" s="13">
        <f>+[31]RESUMEN!$B$13</f>
        <v>42654</v>
      </c>
      <c r="L32" s="13">
        <f>+[31]RESUMEN!$B$15</f>
        <v>43749</v>
      </c>
      <c r="M32" s="11" t="str">
        <f>+[31]RESUMEN!$B$10</f>
        <v>CONTESTACIÓN DEMANDA</v>
      </c>
      <c r="N32" s="11" t="str">
        <f>+[31]RESUMEN!$A$20</f>
        <v>EN CASO TAL DE QUE PROSPERE LA DEMANDA NO SE ORDENARIA EL PAGO DE NINGUNA SUMA DE DINERO SINO QUE NO SE COBRE EL VALOR IMPUESTO MEDIANTE SANCION AMBIENTAL</v>
      </c>
      <c r="O32" s="20"/>
      <c r="P32" s="10"/>
    </row>
    <row r="33" spans="1:16" s="2" customFormat="1" ht="51" x14ac:dyDescent="0.2">
      <c r="A33" s="7">
        <v>32</v>
      </c>
      <c r="B33" s="11" t="s">
        <v>15</v>
      </c>
      <c r="C33" s="11" t="str">
        <f>+[32]RESUMEN!$B$5</f>
        <v xml:space="preserve">2016-192 </v>
      </c>
      <c r="D33" s="11" t="str">
        <f>+[32]RESUMEN!$B$6</f>
        <v>NULIDAD Y RESTABLECIMIENTO DEL DERECHO</v>
      </c>
      <c r="E33" s="11" t="str">
        <f>+[32]RESUMEN!$B$7</f>
        <v>GUILLERMO ALARCON MORALES</v>
      </c>
      <c r="F33" s="11">
        <f>+[32]RESUMEN!$B$8</f>
        <v>74754793</v>
      </c>
      <c r="G33" s="11"/>
      <c r="H33" s="11" t="str">
        <f>+[32]RESUMEN!$B$9</f>
        <v>CORPORINOQUIA</v>
      </c>
      <c r="I33" s="12">
        <f>+[32]RESUMEN!$B$11</f>
        <v>99975506.207484305</v>
      </c>
      <c r="J33" s="11" t="str">
        <f>+[32]RESUMEN!$B$12</f>
        <v>Cuentas de orden</v>
      </c>
      <c r="K33" s="13">
        <f>+[32]RESUMEN!$B$13</f>
        <v>42643</v>
      </c>
      <c r="L33" s="13">
        <f>+[32]RESUMEN!$B$15</f>
        <v>43738</v>
      </c>
      <c r="M33" s="11" t="str">
        <f>+[32]RESUMEN!$B$10</f>
        <v>TRASLADO PARA ALEGAR DE CONCLUSIÓN</v>
      </c>
      <c r="N33" s="11" t="str">
        <f>+[32]RESUMEN!$A$20</f>
        <v>EN CASO TAL DE QUE PROSPERE LA DEMANDA NO SE ORDENARIA EL PAGO DE NINGUNA SUMA DE DINERO SINO QUE NO SE COBRE EL VALOR IMPUESTO MEDIANTE SANCION AMBIENTAL</v>
      </c>
      <c r="O33" s="20"/>
      <c r="P33" s="10"/>
    </row>
    <row r="34" spans="1:16" s="2" customFormat="1" ht="38.25" x14ac:dyDescent="0.2">
      <c r="A34" s="7">
        <v>33</v>
      </c>
      <c r="B34" s="11" t="s">
        <v>15</v>
      </c>
      <c r="C34" s="11" t="str">
        <f>+[33]RESUMEN!$B$5</f>
        <v>2016-00342</v>
      </c>
      <c r="D34" s="11" t="str">
        <f>+[33]RESUMEN!$B$6</f>
        <v>NULIDAD Y RESTABLECIMIENTO</v>
      </c>
      <c r="E34" s="11" t="str">
        <f>+[33]RESUMEN!$B$7</f>
        <v>MARINA CHAPARRO CHAPARRO</v>
      </c>
      <c r="F34" s="11">
        <f>+[33]RESUMEN!$B$8</f>
        <v>24226191</v>
      </c>
      <c r="G34" s="11"/>
      <c r="H34" s="11" t="str">
        <f>+[33]RESUMEN!$B$9</f>
        <v>CORPORINOQUIA</v>
      </c>
      <c r="I34" s="12">
        <f>+[33]RESUMEN!$B$11</f>
        <v>6015363.6629340285</v>
      </c>
      <c r="J34" s="11" t="str">
        <f>+[33]RESUMEN!$B$12</f>
        <v>Provisión contable</v>
      </c>
      <c r="K34" s="13">
        <f>+[33]RESUMEN!$B$13</f>
        <v>43006</v>
      </c>
      <c r="L34" s="13">
        <f>+[33]RESUMEN!$B$15</f>
        <v>43736</v>
      </c>
      <c r="M34" s="11" t="str">
        <f>+[33]RESUMEN!$B$10</f>
        <v>CONTESTA DEMANDA</v>
      </c>
      <c r="N34" s="11">
        <f>+[33]RESUMEN!$A$20</f>
        <v>0</v>
      </c>
      <c r="O34" s="20"/>
      <c r="P34" s="10"/>
    </row>
    <row r="35" spans="1:16" s="2" customFormat="1" ht="38.25" x14ac:dyDescent="0.2">
      <c r="A35" s="7">
        <v>34</v>
      </c>
      <c r="B35" s="11" t="s">
        <v>15</v>
      </c>
      <c r="C35" s="11" t="str">
        <f>+[34]RESUMEN!$B$5</f>
        <v>2016-302</v>
      </c>
      <c r="D35" s="11" t="str">
        <f>+[34]RESUMEN!$B$6</f>
        <v>NULIDAD Y RESTABLECIMIENTO</v>
      </c>
      <c r="E35" s="11" t="str">
        <f>+[34]RESUMEN!$B$7</f>
        <v>CELTA LTDA</v>
      </c>
      <c r="F35" s="11">
        <f>+[34]RESUMEN!$B$8</f>
        <v>8600250062</v>
      </c>
      <c r="G35" s="11"/>
      <c r="H35" s="11" t="str">
        <f>+[34]RESUMEN!$B$9</f>
        <v>CORPORINOQUIA</v>
      </c>
      <c r="I35" s="12">
        <f>+[34]RESUMEN!$B$11</f>
        <v>32487725.799929351</v>
      </c>
      <c r="J35" s="11" t="str">
        <f>+[34]RESUMEN!$B$12</f>
        <v>Cuentas de orden</v>
      </c>
      <c r="K35" s="13">
        <f>+[34]RESUMEN!$B$13</f>
        <v>42692</v>
      </c>
      <c r="L35" s="13">
        <f>+[34]RESUMEN!$B$15</f>
        <v>43422</v>
      </c>
      <c r="M35" s="11" t="str">
        <f>+[34]RESUMEN!$B$10</f>
        <v>TRASLADO PARA CONTESTAR DEMANDA</v>
      </c>
      <c r="N35" s="11" t="str">
        <f>+[34]RESUMEN!$A$20</f>
        <v>Se pretende la nulidad de un acto administrativo que no fue expedido por la Corporacion, de tal forma que no genera carga economia para la Corporacion.</v>
      </c>
      <c r="O35" s="20"/>
      <c r="P35" s="10"/>
    </row>
    <row r="36" spans="1:16" s="2" customFormat="1" ht="38.25" x14ac:dyDescent="0.2">
      <c r="A36" s="7">
        <v>35</v>
      </c>
      <c r="B36" s="11" t="s">
        <v>15</v>
      </c>
      <c r="C36" s="11" t="str">
        <f>+[35]RESUMEN!$B$5</f>
        <v>2016-231</v>
      </c>
      <c r="D36" s="11" t="str">
        <f>+[35]RESUMEN!$B$6</f>
        <v>NULIDAD SIMPLE</v>
      </c>
      <c r="E36" s="11" t="str">
        <f>+[35]RESUMEN!$B$7</f>
        <v>EDUARDO ALBERTO PELAEZ MESA</v>
      </c>
      <c r="F36" s="11">
        <f>+[35]RESUMEN!$B$8</f>
        <v>9526997</v>
      </c>
      <c r="G36" s="11"/>
      <c r="H36" s="11" t="str">
        <f>+[35]RESUMEN!$B$9</f>
        <v>CORPORINOQUIA</v>
      </c>
      <c r="I36" s="12">
        <f>+[35]RESUMEN!$B$11</f>
        <v>0</v>
      </c>
      <c r="J36" s="11" t="str">
        <f>+[35]RESUMEN!$B$12</f>
        <v>Cuentas de orden</v>
      </c>
      <c r="K36" s="13">
        <f>+[35]RESUMEN!$B$13</f>
        <v>42642</v>
      </c>
      <c r="L36" s="13">
        <f>+[35]RESUMEN!$B$15</f>
        <v>43372</v>
      </c>
      <c r="M36" s="11" t="str">
        <f>+[35]RESUMEN!$B$10</f>
        <v>CONTESTACIÓN DEMANDA</v>
      </c>
      <c r="N36" s="11" t="str">
        <f>+[35]RESUMEN!$A$20</f>
        <v>Se pretende la nulidad de un acto administrativo que no fue expedido por la Corporacion, de tal forma que no genera carga economia para la Corporacion.</v>
      </c>
      <c r="O36" s="20"/>
      <c r="P36" s="10"/>
    </row>
    <row r="37" spans="1:16" s="2" customFormat="1" ht="63.75" x14ac:dyDescent="0.2">
      <c r="A37" s="7">
        <v>36</v>
      </c>
      <c r="B37" s="11" t="s">
        <v>15</v>
      </c>
      <c r="C37" s="11" t="str">
        <f>+[36]RESUMEN!$B$5</f>
        <v>2016-055</v>
      </c>
      <c r="D37" s="11" t="str">
        <f>+[36]RESUMEN!$B$6</f>
        <v>REPARACION DIRECTA</v>
      </c>
      <c r="E37" s="11" t="str">
        <f>+[36]RESUMEN!$B$7</f>
        <v>52421392 RUIZ CALA SILVIA LILIANA - 78692552 CORONADO OSORIO MANUEL FRANCISCO - 5541105 RUIZ GONZALEZ RAMIRO</v>
      </c>
      <c r="F37" s="11">
        <f>+[36]RESUMEN!$B$8</f>
        <v>52421392</v>
      </c>
      <c r="G37" s="11"/>
      <c r="H37" s="11" t="str">
        <f>+[36]RESUMEN!$B$9</f>
        <v>CORPORINOQUIA</v>
      </c>
      <c r="I37" s="12">
        <f>+[36]RESUMEN!$B$11</f>
        <v>565331885.91498888</v>
      </c>
      <c r="J37" s="11" t="str">
        <f>+[36]RESUMEN!$B$12</f>
        <v>Cuentas de orden</v>
      </c>
      <c r="K37" s="13">
        <f>+[36]RESUMEN!$B$13</f>
        <v>42474</v>
      </c>
      <c r="L37" s="13">
        <f>+[36]RESUMEN!$B$15</f>
        <v>43204</v>
      </c>
      <c r="M37" s="11" t="str">
        <f>+[36]RESUMEN!$B$10</f>
        <v>SE LLEVO A CABO AUDIENCIA INICIAL</v>
      </c>
      <c r="N37" s="11">
        <f>+[36]RESUMEN!$A$20</f>
        <v>0</v>
      </c>
      <c r="O37" s="20"/>
      <c r="P37" s="10"/>
    </row>
    <row r="38" spans="1:16" s="2" customFormat="1" ht="38.25" x14ac:dyDescent="0.2">
      <c r="A38" s="7">
        <v>37</v>
      </c>
      <c r="B38" s="11" t="s">
        <v>15</v>
      </c>
      <c r="C38" s="11" t="str">
        <f>+[37]RESUMEN!$B$5</f>
        <v>2016-035</v>
      </c>
      <c r="D38" s="11" t="str">
        <f>+[37]RESUMEN!$B$6</f>
        <v>NULIDAD Y RESTABLECIMIENTO DEL DERECHO</v>
      </c>
      <c r="E38" s="11" t="str">
        <f>+[37]RESUMEN!$B$7</f>
        <v>AMANDA AVILA</v>
      </c>
      <c r="F38" s="11">
        <f>+[37]RESUMEN!$B$8</f>
        <v>47434339</v>
      </c>
      <c r="G38" s="11"/>
      <c r="H38" s="11" t="str">
        <f>+[37]RESUMEN!$B$9</f>
        <v>CORPORINOQUIA</v>
      </c>
      <c r="I38" s="12">
        <f>+[37]RESUMEN!$B$11</f>
        <v>13542264.577064767</v>
      </c>
      <c r="J38" s="11" t="str">
        <f>+[37]RESUMEN!$B$12</f>
        <v>Provisión contable</v>
      </c>
      <c r="K38" s="13">
        <f>+[37]RESUMEN!$B$13</f>
        <v>42510</v>
      </c>
      <c r="L38" s="13">
        <f>+[37]RESUMEN!$B$15</f>
        <v>43605</v>
      </c>
      <c r="M38" s="11" t="str">
        <f>+[37]RESUMEN!$B$10</f>
        <v>CONTESTA DEMANDA</v>
      </c>
      <c r="N38" s="11">
        <f>+[37]RESUMEN!$A$20</f>
        <v>0</v>
      </c>
      <c r="O38" s="20"/>
      <c r="P38" s="10"/>
    </row>
    <row r="39" spans="1:16" s="2" customFormat="1" ht="38.25" x14ac:dyDescent="0.2">
      <c r="A39" s="7">
        <v>38</v>
      </c>
      <c r="B39" s="11" t="s">
        <v>15</v>
      </c>
      <c r="C39" s="11" t="str">
        <f>+[38]RESUMEN!$B$5</f>
        <v>2016- 289</v>
      </c>
      <c r="D39" s="11" t="str">
        <f>+[38]RESUMEN!$B$6</f>
        <v>POPULAR</v>
      </c>
      <c r="E39" s="11" t="str">
        <f>+[38]RESUMEN!$B$7</f>
        <v>PERSONERIA DE PAZ DE ARIPORO</v>
      </c>
      <c r="F39" s="11">
        <f>+[38]RESUMEN!$B$8</f>
        <v>8001036598</v>
      </c>
      <c r="G39" s="11"/>
      <c r="H39" s="11" t="str">
        <f>+[38]RESUMEN!$B$9</f>
        <v>CASANARE, CORPORACION, ANM, PEÑALON LTDA Y OTROS</v>
      </c>
      <c r="I39" s="12">
        <f>+[38]RESUMEN!$B$11</f>
        <v>30651963.410786089</v>
      </c>
      <c r="J39" s="11" t="str">
        <f>+[38]RESUMEN!$B$12</f>
        <v>Cuentas de orden</v>
      </c>
      <c r="K39" s="13">
        <f>+[38]RESUMEN!$B$13</f>
        <v>42747</v>
      </c>
      <c r="L39" s="13">
        <f>+[38]RESUMEN!$B$15</f>
        <v>43842</v>
      </c>
      <c r="M39" s="11" t="str">
        <f>+[38]RESUMEN!$B$10</f>
        <v>CONTESTACION</v>
      </c>
      <c r="N39" s="11" t="str">
        <f>+[38]RESUMEN!$A$20</f>
        <v>La contestación de la demanda se hizo el día 26 de enero de 2017.</v>
      </c>
      <c r="O39" s="20"/>
      <c r="P39" s="10"/>
    </row>
    <row r="40" spans="1:16" s="2" customFormat="1" ht="89.25" x14ac:dyDescent="0.2">
      <c r="A40" s="7">
        <v>39</v>
      </c>
      <c r="B40" s="11" t="s">
        <v>15</v>
      </c>
      <c r="C40" s="11" t="str">
        <f>+[39]RESUMEN!$B$5</f>
        <v>2015-559</v>
      </c>
      <c r="D40" s="11" t="str">
        <f>+[39]RESUMEN!$B$6</f>
        <v>NULIDAD Y RESTABLECIMIENTO DEL DERECHO</v>
      </c>
      <c r="E40" s="11" t="str">
        <f>+[39]RESUMEN!$B$7</f>
        <v>74343272 OSORIO LEON FILIBERTO - 74343176 LEON  BERNABE</v>
      </c>
      <c r="F40" s="11">
        <f>+[39]RESUMEN!$B$8</f>
        <v>74343272</v>
      </c>
      <c r="G40" s="11"/>
      <c r="H40" s="11" t="str">
        <f>+[39]RESUMEN!$B$9</f>
        <v>CORPORINOQUIA</v>
      </c>
      <c r="I40" s="12">
        <f>+[39]RESUMEN!$B$11</f>
        <v>2217863.4009351949</v>
      </c>
      <c r="J40" s="11" t="str">
        <f>+[39]RESUMEN!$B$12</f>
        <v>Cuentas de orden</v>
      </c>
      <c r="K40" s="13">
        <f>+[39]RESUMEN!$B$13</f>
        <v>42405</v>
      </c>
      <c r="L40" s="13">
        <f>+[39]RESUMEN!$B$15</f>
        <v>43500</v>
      </c>
      <c r="M40" s="11" t="str">
        <f>+[39]RESUMEN!$B$10</f>
        <v>CONTESTACION DE LA DEMANDA</v>
      </c>
      <c r="N40" s="11" t="str">
        <f>+[39]RESUMEN!$A$20</f>
        <v xml:space="preserve">En caso tal de perder el proceso se ordenaría principalmente una obligación de hacer, ahora el Juez o Magistrado puede considerar que existieron unos perjuicios que se deben cancelar y que fueron calculados, sin embargo la posibilidad de que el juez llegue a condenar al pago de unos perjuicios es muy baja, casi que nula  </v>
      </c>
      <c r="O40" s="20"/>
      <c r="P40" s="10"/>
    </row>
    <row r="41" spans="1:16" s="2" customFormat="1" ht="89.25" x14ac:dyDescent="0.2">
      <c r="A41" s="7">
        <v>40</v>
      </c>
      <c r="B41" s="11" t="s">
        <v>15</v>
      </c>
      <c r="C41" s="11" t="str">
        <f>+[40]RESUMEN!$B$5</f>
        <v>2015-366</v>
      </c>
      <c r="D41" s="11" t="str">
        <f>+[40]RESUMEN!$B$6</f>
        <v>NULIDAD Y RESTABLECIMIENTO DEL DERECHO</v>
      </c>
      <c r="E41" s="11" t="str">
        <f>+[40]RESUMEN!$B$7</f>
        <v>GENNY MILADY TORRES TORRES</v>
      </c>
      <c r="F41" s="11">
        <f>+[40]RESUMEN!$B$8</f>
        <v>68174726</v>
      </c>
      <c r="G41" s="11"/>
      <c r="H41" s="11" t="str">
        <f>+[40]RESUMEN!$B$9</f>
        <v>CORPORINOQUIA</v>
      </c>
      <c r="I41" s="12">
        <f>+[40]RESUMEN!$B$11</f>
        <v>70465455.286353737</v>
      </c>
      <c r="J41" s="11" t="str">
        <f>+[40]RESUMEN!$B$12</f>
        <v>Cuentas de orden</v>
      </c>
      <c r="K41" s="13">
        <f>+[40]RESUMEN!$B$13</f>
        <v>42467</v>
      </c>
      <c r="L41" s="13">
        <f>+[40]RESUMEN!$B$15</f>
        <v>43562</v>
      </c>
      <c r="M41" s="11" t="str">
        <f>+[40]RESUMEN!$B$10</f>
        <v>SE LLEVA A CABO AUDIENCIA INICIAL</v>
      </c>
      <c r="N41" s="11" t="str">
        <f>+[40]RESUMEN!$A$20</f>
        <v>En caso tal de perder el proceso se ordenaría principalmente una obligación de hacer, ahora el Juez o Magistrado puede considerar que existieron unos perjuicios que se deben cancelar y que fueron calculados, sin embargo la posibilidad de que el juez llegue a condenar al pago de unos perjuicios es muy baja.</v>
      </c>
      <c r="O41" s="20"/>
      <c r="P41" s="10"/>
    </row>
    <row r="42" spans="1:16" s="2" customFormat="1" ht="89.25" x14ac:dyDescent="0.2">
      <c r="A42" s="7">
        <v>41</v>
      </c>
      <c r="B42" s="11" t="s">
        <v>15</v>
      </c>
      <c r="C42" s="11" t="str">
        <f>+[41]RESUMEN!$B$5</f>
        <v>2015-345</v>
      </c>
      <c r="D42" s="11" t="str">
        <f>+[41]RESUMEN!$B$6</f>
        <v>NULIDAD Y RESTABLECIMIENTO DEL DERECHO</v>
      </c>
      <c r="E42" s="11" t="str">
        <f>+[41]RESUMEN!$B$7</f>
        <v>SARA LUCIA GONZALEZ GONZALEZ</v>
      </c>
      <c r="F42" s="11">
        <f>+[41]RESUMEN!$B$8</f>
        <v>51967801</v>
      </c>
      <c r="G42" s="11"/>
      <c r="H42" s="11" t="str">
        <f>+[41]RESUMEN!$B$9</f>
        <v>CORPORINOQUIA</v>
      </c>
      <c r="I42" s="12">
        <f>+[41]RESUMEN!$B$11</f>
        <v>161152962.89160052</v>
      </c>
      <c r="J42" s="11" t="str">
        <f>+[41]RESUMEN!$B$12</f>
        <v>Cuentas de orden</v>
      </c>
      <c r="K42" s="13">
        <f>+[41]RESUMEN!$B$13</f>
        <v>42382</v>
      </c>
      <c r="L42" s="13">
        <f>+[41]RESUMEN!$B$15</f>
        <v>43477</v>
      </c>
      <c r="M42" s="11" t="str">
        <f>+[41]RESUMEN!$B$10</f>
        <v>AUDIENCIA INICIAL</v>
      </c>
      <c r="N42" s="11" t="str">
        <f>+[41]RESUMEN!$A$20</f>
        <v xml:space="preserve">En caso tal de perder el proceso se ordenaría principalmente una obligación de hacer, ahora el Juez o Magistrado puede considerar que existieron unos perjuicios que se deben cancelar y que fueron calculados, sin embargo la posibilidad de que el juez llegue a condenar al pago de unos perjuicios es muy baja, casi que nula  </v>
      </c>
      <c r="O42" s="20"/>
      <c r="P42" s="10"/>
    </row>
    <row r="43" spans="1:16" s="2" customFormat="1" ht="89.25" x14ac:dyDescent="0.2">
      <c r="A43" s="7">
        <v>42</v>
      </c>
      <c r="B43" s="11" t="s">
        <v>15</v>
      </c>
      <c r="C43" s="11" t="str">
        <f>+[42]RESUMEN!$B$5</f>
        <v>2015-250</v>
      </c>
      <c r="D43" s="11" t="str">
        <f>+[42]RESUMEN!$B$6</f>
        <v>NULIDAD Y RESTABLECIMIENTO DEL DERECHO</v>
      </c>
      <c r="E43" s="11" t="str">
        <f>+[42]RESUMEN!$B$7</f>
        <v>JOSE ALVARO CHIGUASAQUE ROJAS</v>
      </c>
      <c r="F43" s="11">
        <f>+[42]RESUMEN!$B$8</f>
        <v>212965</v>
      </c>
      <c r="G43" s="11"/>
      <c r="H43" s="11" t="str">
        <f>+[42]RESUMEN!$B$9</f>
        <v>CORPORINOQUIA</v>
      </c>
      <c r="I43" s="12">
        <f>+[42]RESUMEN!$B$11</f>
        <v>58371393.053690836</v>
      </c>
      <c r="J43" s="11" t="str">
        <f>+[42]RESUMEN!$B$12</f>
        <v>Cuentas de orden</v>
      </c>
      <c r="K43" s="13">
        <f>+[42]RESUMEN!$B$13</f>
        <v>41900</v>
      </c>
      <c r="L43" s="13">
        <f>+[42]RESUMEN!$B$15</f>
        <v>42995</v>
      </c>
      <c r="M43" s="11" t="str">
        <f>+[42]RESUMEN!$B$10</f>
        <v>AUDIENCIA DE PRUEBAS</v>
      </c>
      <c r="N43" s="11" t="str">
        <f>+[42]RESUMEN!$A$20</f>
        <v xml:space="preserve">En caso tal de perder el proceso se ordenaría principalmente una obligación de hacer, ahora el Juez o Magistrado puede considerar que existieron unos perjuicios que se deben cancelar y que fueron calculados, sin embargo la posibilidad de que el juez llegue a condenar al pago de unos perjuicios es muy baja, casi que nula  </v>
      </c>
      <c r="O43" s="20"/>
      <c r="P43" s="10"/>
    </row>
    <row r="44" spans="1:16" s="2" customFormat="1" ht="89.25" x14ac:dyDescent="0.2">
      <c r="A44" s="7">
        <v>43</v>
      </c>
      <c r="B44" s="11" t="s">
        <v>15</v>
      </c>
      <c r="C44" s="11" t="str">
        <f>+[43]RESUMEN!$B$5</f>
        <v>2015-231</v>
      </c>
      <c r="D44" s="11" t="str">
        <f>+[43]RESUMEN!$B$6</f>
        <v>NULIDAD Y RESTABLECIMIENTO DEL DERECHO</v>
      </c>
      <c r="E44" s="11" t="str">
        <f>+[43]RESUMEN!$B$7</f>
        <v>JHON JAIRO TORRES TORRES</v>
      </c>
      <c r="F44" s="11">
        <f>+[43]RESUMEN!$B$8</f>
        <v>17293435</v>
      </c>
      <c r="G44" s="11"/>
      <c r="H44" s="11" t="str">
        <f>+[43]RESUMEN!$B$9</f>
        <v>CORPORINOQUIA</v>
      </c>
      <c r="I44" s="12">
        <f>+[43]RESUMEN!$B$11</f>
        <v>2556865.9964829199</v>
      </c>
      <c r="J44" s="11" t="str">
        <f>+[43]RESUMEN!$B$12</f>
        <v>Cuentas de orden</v>
      </c>
      <c r="K44" s="13">
        <f>+[43]RESUMEN!$B$13</f>
        <v>42264</v>
      </c>
      <c r="L44" s="13">
        <f>+[43]RESUMEN!$B$15</f>
        <v>43359</v>
      </c>
      <c r="M44" s="11" t="str">
        <f>+[43]RESUMEN!$B$10</f>
        <v>AUDIENCIA INICIAL</v>
      </c>
      <c r="N44" s="11" t="str">
        <f>+[43]RESUMEN!$A$20</f>
        <v xml:space="preserve">En caso tal de perder el proceso se ordenaría principalmente una obligación de hacer, ahora el Juez o Magistrado puede considerar que existieron unos perjuicios que se deben cancelar y que fueron calculados, sin embargo la posibilidad de que el juez llegue a condenar al pago de unos perjuicios es muy baja, casi que nula  </v>
      </c>
      <c r="O44" s="20"/>
      <c r="P44" s="10"/>
    </row>
    <row r="45" spans="1:16" s="2" customFormat="1" ht="38.25" x14ac:dyDescent="0.2">
      <c r="A45" s="7">
        <v>44</v>
      </c>
      <c r="B45" s="11" t="s">
        <v>15</v>
      </c>
      <c r="C45" s="11" t="str">
        <f>+[44]RESUMEN!$B$5</f>
        <v>2015-138</v>
      </c>
      <c r="D45" s="11" t="str">
        <f>+[44]RESUMEN!$B$6</f>
        <v>NULIDAD Y RESTABLECIMIENTO DEL DERECHO</v>
      </c>
      <c r="E45" s="11" t="str">
        <f>+[44]RESUMEN!$B$7</f>
        <v>SICIM COLOMBIA</v>
      </c>
      <c r="F45" s="11">
        <f>+[44]RESUMEN!$B$8</f>
        <v>271956</v>
      </c>
      <c r="G45" s="11"/>
      <c r="H45" s="11" t="str">
        <f>+[44]RESUMEN!$B$9</f>
        <v>CORPORINOQUIA</v>
      </c>
      <c r="I45" s="12">
        <f>+[44]RESUMEN!$B$11</f>
        <v>393919009.6722098</v>
      </c>
      <c r="J45" s="11" t="str">
        <f>+[44]RESUMEN!$B$12</f>
        <v>No se registra</v>
      </c>
      <c r="K45" s="13">
        <f>+[44]RESUMEN!$B$13</f>
        <v>42187</v>
      </c>
      <c r="L45" s="13">
        <f>+[44]RESUMEN!$B$15</f>
        <v>42917</v>
      </c>
      <c r="M45" s="11" t="str">
        <f>+[44]RESUMEN!$B$10</f>
        <v>APELACION</v>
      </c>
      <c r="N45" s="11">
        <f>+[44]RESUMEN!$A$20</f>
        <v>0</v>
      </c>
      <c r="O45" s="20"/>
      <c r="P45" s="10"/>
    </row>
    <row r="46" spans="1:16" s="2" customFormat="1" ht="38.25" x14ac:dyDescent="0.2">
      <c r="A46" s="7">
        <v>45</v>
      </c>
      <c r="B46" s="11" t="s">
        <v>15</v>
      </c>
      <c r="C46" s="11" t="str">
        <f>+[45]RESUMEN!$B$5</f>
        <v>2014-306</v>
      </c>
      <c r="D46" s="11" t="str">
        <f>+[45]RESUMEN!$B$6</f>
        <v>NULIDAD Y RESTABLECIMIENTO DEL DERECHO</v>
      </c>
      <c r="E46" s="11" t="str">
        <f>+[45]RESUMEN!$B$7</f>
        <v>0SCAR MORENO SALCEDO</v>
      </c>
      <c r="F46" s="11">
        <f>+[45]RESUMEN!$B$8</f>
        <v>74860818</v>
      </c>
      <c r="G46" s="11"/>
      <c r="H46" s="11" t="str">
        <f>+[45]RESUMEN!$B$9</f>
        <v>CORPORINOQUIA</v>
      </c>
      <c r="I46" s="12">
        <f>+[45]RESUMEN!$B$11</f>
        <v>23843676.440957781</v>
      </c>
      <c r="J46" s="11" t="str">
        <f>+[45]RESUMEN!$B$12</f>
        <v>Provisión contable</v>
      </c>
      <c r="K46" s="13">
        <f>+[45]RESUMEN!$B$13</f>
        <v>41943</v>
      </c>
      <c r="L46" s="13">
        <f>+[45]RESUMEN!$B$15</f>
        <v>43038</v>
      </c>
      <c r="M46" s="11" t="str">
        <f>+[45]RESUMEN!$B$10</f>
        <v>AUDIENCIA DE PRUEBAS</v>
      </c>
      <c r="N46" s="11">
        <f>+[45]RESUMEN!$A$20</f>
        <v>0</v>
      </c>
      <c r="O46" s="20"/>
      <c r="P46" s="10"/>
    </row>
    <row r="47" spans="1:16" s="2" customFormat="1" ht="38.25" x14ac:dyDescent="0.2">
      <c r="A47" s="7">
        <v>46</v>
      </c>
      <c r="B47" s="11" t="s">
        <v>15</v>
      </c>
      <c r="C47" s="11" t="str">
        <f>+[46]RESUMEN!$B$5</f>
        <v>2014-305</v>
      </c>
      <c r="D47" s="11" t="str">
        <f>+[46]RESUMEN!$B$6</f>
        <v>NULIDAD Y RESTABLECIMIENTO DEL DERECHO</v>
      </c>
      <c r="E47" s="11" t="str">
        <f>+[46]RESUMEN!$B$7</f>
        <v>YULY LILIANA TORRES BARRERA</v>
      </c>
      <c r="F47" s="11">
        <f>+[46]RESUMEN!$B$8</f>
        <v>46384525</v>
      </c>
      <c r="G47" s="11"/>
      <c r="H47" s="11" t="str">
        <f>+[46]RESUMEN!$B$9</f>
        <v>CORPORINOQUIA</v>
      </c>
      <c r="I47" s="12">
        <f>+[46]RESUMEN!$B$11</f>
        <v>15210866.556848185</v>
      </c>
      <c r="J47" s="11" t="str">
        <f>+[46]RESUMEN!$B$12</f>
        <v>Provisión contable</v>
      </c>
      <c r="K47" s="13">
        <f>+[46]RESUMEN!$B$13</f>
        <v>42674</v>
      </c>
      <c r="L47" s="13">
        <f>+[46]RESUMEN!$B$15</f>
        <v>43769</v>
      </c>
      <c r="M47" s="11" t="str">
        <f>+[46]RESUMEN!$B$10</f>
        <v>ALEGATOS DE CONCLUSIÓN</v>
      </c>
      <c r="N47" s="11">
        <f>+[46]RESUMEN!$A$20</f>
        <v>0</v>
      </c>
      <c r="O47" s="20"/>
      <c r="P47" s="10"/>
    </row>
    <row r="48" spans="1:16" s="2" customFormat="1" ht="63.75" x14ac:dyDescent="0.2">
      <c r="A48" s="7">
        <v>47</v>
      </c>
      <c r="B48" s="11" t="s">
        <v>15</v>
      </c>
      <c r="C48" s="11" t="str">
        <f>+[47]RESUMEN!$B$5</f>
        <v>2014-197</v>
      </c>
      <c r="D48" s="11" t="str">
        <f>+[47]RESUMEN!$B$6</f>
        <v>REPARACION DIRECTA</v>
      </c>
      <c r="E48" s="11" t="str">
        <f>+[47]RESUMEN!$B$7</f>
        <v>47437033 WILCHES GONZALEZ HAYDI ZULEIMA - 74860784 CAMACHO  GIOVANNY - 88175631 CAMACHO  LIBARDO</v>
      </c>
      <c r="F48" s="11">
        <f>+[47]RESUMEN!$B$8</f>
        <v>47437033</v>
      </c>
      <c r="G48" s="11"/>
      <c r="H48" s="11" t="str">
        <f>+[47]RESUMEN!$B$9</f>
        <v>CORPORINOQUIA MUNICIPIO DE NUNCHIA Y OTROS</v>
      </c>
      <c r="I48" s="12">
        <f>+[47]RESUMEN!$B$11</f>
        <v>7539125.4870496802</v>
      </c>
      <c r="J48" s="11" t="str">
        <f>+[47]RESUMEN!$B$12</f>
        <v>Cuentas de orden</v>
      </c>
      <c r="K48" s="13">
        <f>+[47]RESUMEN!$B$13</f>
        <v>41830</v>
      </c>
      <c r="L48" s="13">
        <f>+[47]RESUMEN!$B$15</f>
        <v>42925</v>
      </c>
      <c r="M48" s="11" t="str">
        <f>+[47]RESUMEN!$B$10</f>
        <v>AUDIENCIA DE PRUEBAS</v>
      </c>
      <c r="N48" s="11">
        <f>+[47]RESUMEN!$A$20</f>
        <v>0</v>
      </c>
      <c r="O48" s="20"/>
      <c r="P48" s="10"/>
    </row>
    <row r="49" spans="1:16" s="2" customFormat="1" ht="38.25" x14ac:dyDescent="0.2">
      <c r="A49" s="7">
        <v>48</v>
      </c>
      <c r="B49" s="11" t="s">
        <v>15</v>
      </c>
      <c r="C49" s="11" t="str">
        <f>+[48]RESUMEN!$B$5</f>
        <v>2014-154</v>
      </c>
      <c r="D49" s="11" t="str">
        <f>+[48]RESUMEN!$B$6</f>
        <v>NULIDAD Y RESTABLECIMIENTO DEL DERECHO</v>
      </c>
      <c r="E49" s="11" t="str">
        <f>+[48]RESUMEN!$B$7</f>
        <v>DIANA CORPORACION S.A. DICORP S.A.</v>
      </c>
      <c r="F49" s="11">
        <f>+[48]RESUMEN!$B$8</f>
        <v>860031606</v>
      </c>
      <c r="G49" s="11"/>
      <c r="H49" s="11" t="str">
        <f>+[48]RESUMEN!$B$9</f>
        <v>CORPORINOQUIA</v>
      </c>
      <c r="I49" s="12">
        <f>+[48]RESUMEN!$B$11</f>
        <v>39959969.574508451</v>
      </c>
      <c r="J49" s="11" t="str">
        <f>+[48]RESUMEN!$B$12</f>
        <v>Cuentas de orden</v>
      </c>
      <c r="K49" s="13">
        <f>+[48]RESUMEN!$B$13</f>
        <v>41921</v>
      </c>
      <c r="L49" s="13">
        <f>+[48]RESUMEN!$B$15</f>
        <v>43016</v>
      </c>
      <c r="M49" s="11" t="str">
        <f>+[48]RESUMEN!$B$10</f>
        <v>SENTENCIA</v>
      </c>
      <c r="N49" s="11">
        <f>+[48]RESUMEN!$A$20</f>
        <v>0</v>
      </c>
      <c r="O49" s="20"/>
      <c r="P49" s="10"/>
    </row>
    <row r="50" spans="1:16" s="2" customFormat="1" ht="38.25" x14ac:dyDescent="0.2">
      <c r="A50" s="7">
        <v>49</v>
      </c>
      <c r="B50" s="11" t="s">
        <v>15</v>
      </c>
      <c r="C50" s="11" t="str">
        <f>+[49]RESUMEN!$B$5</f>
        <v>2014-085</v>
      </c>
      <c r="D50" s="11" t="str">
        <f>+[49]RESUMEN!$B$6</f>
        <v>REPARACION DIRECTA</v>
      </c>
      <c r="E50" s="11" t="str">
        <f>+[49]RESUMEN!$B$7</f>
        <v>CLAUDIA CONSTANZA RODRIGUEZ MARTINEZ</v>
      </c>
      <c r="F50" s="11">
        <f>+[49]RESUMEN!$B$8</f>
        <v>46358759</v>
      </c>
      <c r="G50" s="11"/>
      <c r="H50" s="11" t="str">
        <f>+[49]RESUMEN!$B$9</f>
        <v>CORPORINOQUIA- MUNICIPIO DE CASANARE Y OTRO</v>
      </c>
      <c r="I50" s="12">
        <f>+[49]RESUMEN!$B$11</f>
        <v>127812174.90492634</v>
      </c>
      <c r="J50" s="11" t="str">
        <f>+[49]RESUMEN!$B$12</f>
        <v>Cuentas de orden</v>
      </c>
      <c r="K50" s="13">
        <f>+[49]RESUMEN!$B$13</f>
        <v>41879</v>
      </c>
      <c r="L50" s="13">
        <f>+[49]RESUMEN!$B$15</f>
        <v>42974</v>
      </c>
      <c r="M50" s="11" t="str">
        <f>+[49]RESUMEN!$B$10</f>
        <v>SENTENCIA</v>
      </c>
      <c r="N50" s="11">
        <f>+[49]RESUMEN!$A$20</f>
        <v>0</v>
      </c>
      <c r="O50" s="20"/>
      <c r="P50" s="10"/>
    </row>
    <row r="51" spans="1:16" s="2" customFormat="1" ht="38.25" x14ac:dyDescent="0.2">
      <c r="A51" s="7">
        <v>50</v>
      </c>
      <c r="B51" s="11" t="s">
        <v>15</v>
      </c>
      <c r="C51" s="11" t="str">
        <f>+[50]RESUMEN!$B$5</f>
        <v>2017-217</v>
      </c>
      <c r="D51" s="11" t="str">
        <f>+[50]RESUMEN!$B$6</f>
        <v>NULIDAD Y RESTABLECIMIENTO</v>
      </c>
      <c r="E51" s="11" t="str">
        <f>+[50]RESUMEN!$B$7</f>
        <v>Edith Rosa Albarracín Ramírez</v>
      </c>
      <c r="F51" s="11">
        <f>+[50]RESUMEN!$B$8</f>
        <v>47432765</v>
      </c>
      <c r="G51" s="11"/>
      <c r="H51" s="11" t="str">
        <f>+[50]RESUMEN!$B$9</f>
        <v>CORPORINOQUIA</v>
      </c>
      <c r="I51" s="12">
        <f>+[50]RESUMEN!$B$11</f>
        <v>20011258.961518984</v>
      </c>
      <c r="J51" s="11" t="str">
        <f>+[50]RESUMEN!$B$12</f>
        <v>Cuentas de orden</v>
      </c>
      <c r="K51" s="13">
        <f>+[50]RESUMEN!$B$13</f>
        <v>43395</v>
      </c>
      <c r="L51" s="13">
        <f>+[50]RESUMEN!$B$15</f>
        <v>44125</v>
      </c>
      <c r="M51" s="11" t="str">
        <f>+[50]RESUMEN!$B$10</f>
        <v>EN ESPERA DE QUE SE FIJE FECHA AUDIENCIA INICIAL</v>
      </c>
      <c r="N51" s="11" t="str">
        <f>+[50]RESUMEN!$A$20</f>
        <v>Se pretende la nulidad de un acto administrativo que no fue expedido por la Corporacion, de tal forma que no genera carga economia para la Corporacion.</v>
      </c>
      <c r="O51" s="20"/>
      <c r="P51" s="10"/>
    </row>
    <row r="52" spans="1:16" s="2" customFormat="1" ht="38.25" x14ac:dyDescent="0.2">
      <c r="A52" s="7">
        <v>51</v>
      </c>
      <c r="B52" s="11" t="s">
        <v>15</v>
      </c>
      <c r="C52" s="11" t="str">
        <f>+[51]RESUMEN!$B$5</f>
        <v>2017-00027</v>
      </c>
      <c r="D52" s="11" t="str">
        <f>+[51]RESUMEN!$B$6</f>
        <v>NULIDAD Y RESTABLECIMIENTO</v>
      </c>
      <c r="E52" s="11" t="str">
        <f>+[51]RESUMEN!$B$7</f>
        <v>María De Los Ángeles Galvis Fuentes</v>
      </c>
      <c r="F52" s="11">
        <f>+[51]RESUMEN!$B$8</f>
        <v>47430595</v>
      </c>
      <c r="G52" s="11"/>
      <c r="H52" s="11" t="str">
        <f>+[51]RESUMEN!$B$9</f>
        <v>CORPORINOQUIA</v>
      </c>
      <c r="I52" s="12">
        <f>+[51]RESUMEN!$B$11</f>
        <v>10286928.562332725</v>
      </c>
      <c r="J52" s="11" t="str">
        <f>+[51]RESUMEN!$B$12</f>
        <v>Cuentas de orden</v>
      </c>
      <c r="K52" s="13">
        <f>+[51]RESUMEN!$B$13</f>
        <v>43028</v>
      </c>
      <c r="L52" s="13">
        <f>+[51]RESUMEN!$B$15</f>
        <v>43758</v>
      </c>
      <c r="M52" s="11" t="str">
        <f>+[51]RESUMEN!$B$10</f>
        <v>EN ESPERA DE QUE SE FIJE FECHA AUDIENCIA INICIAL</v>
      </c>
      <c r="N52" s="11" t="str">
        <f>+[51]RESUMEN!$A$20</f>
        <v>Se pretende la nulidad de un acto administrativo mediante el cual Corporinoquia niega el reconocimiento de emolumentos salariales.</v>
      </c>
      <c r="O52" s="20"/>
      <c r="P52" s="10"/>
    </row>
    <row r="53" spans="1:16" s="2" customFormat="1" ht="63.75" x14ac:dyDescent="0.2">
      <c r="A53" s="7">
        <v>52</v>
      </c>
      <c r="B53" s="11" t="s">
        <v>15</v>
      </c>
      <c r="C53" s="11" t="str">
        <f>+[52]RESUMEN!$B$5</f>
        <v>2017-00039</v>
      </c>
      <c r="D53" s="11" t="str">
        <f>+[52]RESUMEN!$B$6</f>
        <v>NULIDAD Y RESTABLECIMIENTO</v>
      </c>
      <c r="E53" s="11" t="str">
        <f>+[52]RESUMEN!$B$7</f>
        <v>Olga Lucía Benítez Abril</v>
      </c>
      <c r="F53" s="11">
        <f>+[52]RESUMEN!$B$8</f>
        <v>51786833</v>
      </c>
      <c r="G53" s="11"/>
      <c r="H53" s="11" t="str">
        <f>+[52]RESUMEN!$B$9</f>
        <v>CORPORINOQUIA</v>
      </c>
      <c r="I53" s="12">
        <f>+[52]RESUMEN!$B$11</f>
        <v>7008551.7708846508</v>
      </c>
      <c r="J53" s="11" t="str">
        <f>+[52]RESUMEN!$B$12</f>
        <v>Cuentas de orden</v>
      </c>
      <c r="K53" s="13">
        <f>+[52]RESUMEN!$B$13</f>
        <v>42874</v>
      </c>
      <c r="L53" s="13">
        <f>+[52]RESUMEN!$B$15</f>
        <v>43604</v>
      </c>
      <c r="M53" s="11" t="str">
        <f>+[52]RESUMEN!$B$10</f>
        <v>EN ESPERA DE QUE SE FIJE FECHA AUDIENCIA INICIAL</v>
      </c>
      <c r="N53" s="11" t="str">
        <f>+[52]RESUMEN!$A$20</f>
        <v>Se pretende la nulidad de un acto administrativo mediante el cual la Corporacion niega el reconocimiento de emolumentos salariales provenientes de una supuesta relación laboral (contrato realidad).</v>
      </c>
      <c r="O53" s="20"/>
      <c r="P53" s="10"/>
    </row>
    <row r="54" spans="1:16" s="2" customFormat="1" ht="63.75" x14ac:dyDescent="0.2">
      <c r="A54" s="7">
        <v>53</v>
      </c>
      <c r="B54" s="11" t="s">
        <v>15</v>
      </c>
      <c r="C54" s="11" t="str">
        <f>+[53]RESUMEN!$B$5</f>
        <v>2017-00253</v>
      </c>
      <c r="D54" s="11" t="str">
        <f>+[53]RESUMEN!$B$6</f>
        <v>REPARACIÓN DIRECTA</v>
      </c>
      <c r="E54" s="11" t="str">
        <f>+[53]RESUMEN!$B$7</f>
        <v>GERMAN DANIEL ARCHILA VARGAS</v>
      </c>
      <c r="F54" s="11">
        <f>+[53]RESUMEN!$B$8</f>
        <v>9650049</v>
      </c>
      <c r="G54" s="11"/>
      <c r="H54" s="11" t="str">
        <f>+[53]RESUMEN!$B$9</f>
        <v>CORPORINOQUIA Y OTROS</v>
      </c>
      <c r="I54" s="12">
        <f>+[53]RESUMEN!$B$11</f>
        <v>251792102.55423403</v>
      </c>
      <c r="J54" s="11" t="str">
        <f>+[53]RESUMEN!$B$12</f>
        <v>Cuentas de orden</v>
      </c>
      <c r="K54" s="13">
        <f>+[53]RESUMEN!$B$13</f>
        <v>43053</v>
      </c>
      <c r="L54" s="13">
        <f>+[53]RESUMEN!$B$15</f>
        <v>44513</v>
      </c>
      <c r="M54" s="11" t="str">
        <f>+[53]RESUMEN!$B$10</f>
        <v>EN ESPERA DE QUE SE FIJE FECHA AUDIENCIA INICIAL</v>
      </c>
      <c r="N54" s="11" t="str">
        <f>+[53]RESUMEN!$A$20</f>
        <v>Se pretende declarar administrativamente responsable a la Corporación por los daños y perjuicios sufridos por los demandantes con ocasión de inundaciones en sus predios en la vereda morrocolandia de Yopal.</v>
      </c>
      <c r="O54" s="20"/>
      <c r="P54" s="10"/>
    </row>
    <row r="55" spans="1:16" s="2" customFormat="1" ht="51" x14ac:dyDescent="0.2">
      <c r="A55" s="7">
        <v>54</v>
      </c>
      <c r="B55" s="11" t="s">
        <v>21</v>
      </c>
      <c r="C55" s="11" t="str">
        <f>+[54]RESUMEN!$B$5</f>
        <v>2018-00013</v>
      </c>
      <c r="D55" s="11" t="str">
        <f>+[54]RESUMEN!$B$6</f>
        <v>REPARACION DIRECTA</v>
      </c>
      <c r="E55" s="11" t="str">
        <f>+[54]RESUMEN!$B$7</f>
        <v>MAROXI HERRERA BERNAL Y LUIS EDUARDO HIDALGO FLOREZ</v>
      </c>
      <c r="F55" s="11" t="str">
        <f>+[54]RESUMEN!$B$8</f>
        <v>68285337  / 17586141</v>
      </c>
      <c r="G55" s="11"/>
      <c r="H55" s="11" t="str">
        <f>+[54]RESUMEN!$B$9</f>
        <v>CORPORINOQUIA- MUNICIPIO DE ARAUCA</v>
      </c>
      <c r="I55" s="12">
        <f>+[54]RESUMEN!$B$11</f>
        <v>122838225</v>
      </c>
      <c r="J55" s="11" t="str">
        <f>+[54]RESUMEN!$B$12</f>
        <v>No se registra</v>
      </c>
      <c r="K55" s="13">
        <f>+[54]RESUMEN!$B$13</f>
        <v>43173</v>
      </c>
      <c r="L55" s="13">
        <f>+[54]RESUMEN!$B$15</f>
        <v>44268</v>
      </c>
      <c r="M55" s="11" t="str">
        <f>+[54]RESUMEN!$B$10</f>
        <v>RESPUESTA A LA DEMANDA</v>
      </c>
      <c r="N55" s="11">
        <f>+[54]RESUMEN!$A$20</f>
        <v>0</v>
      </c>
      <c r="P55" s="10"/>
    </row>
    <row r="56" spans="1:16" s="2" customFormat="1" ht="76.5" x14ac:dyDescent="0.2">
      <c r="A56" s="7">
        <v>55</v>
      </c>
      <c r="B56" s="11" t="s">
        <v>21</v>
      </c>
      <c r="C56" s="11" t="str">
        <f>+[55]RESUMEN!$B$5</f>
        <v>2016-00241-00</v>
      </c>
      <c r="D56" s="11" t="str">
        <f>+[55]RESUMEN!$B$6</f>
        <v>LABORAL DE PRIMERA INSTANCIA</v>
      </c>
      <c r="E56" s="11" t="str">
        <f>+[55]RESUMEN!$B$7</f>
        <v>SAIDA YOLANDA CAMARGO SUAREZ</v>
      </c>
      <c r="F56" s="11">
        <f>+[55]RESUMEN!$B$8</f>
        <v>40505996</v>
      </c>
      <c r="G56" s="11"/>
      <c r="H56" s="11" t="str">
        <f>+[55]RESUMEN!$B$9</f>
        <v>CORPORINOQUIA</v>
      </c>
      <c r="I56" s="12">
        <f>+[55]RESUMEN!$B$11</f>
        <v>239868652</v>
      </c>
      <c r="J56" s="11" t="str">
        <f>+[55]RESUMEN!$B$12</f>
        <v>Provisión contable</v>
      </c>
      <c r="K56" s="13">
        <f>+[55]RESUMEN!$B$13</f>
        <v>42656</v>
      </c>
      <c r="L56" s="13">
        <f>+[55]RESUMEN!$B$15</f>
        <v>43751</v>
      </c>
      <c r="M56" s="11" t="str">
        <f>+[55]RESUMEN!$B$10</f>
        <v>AUDIENCIA DE CONCILIACION</v>
      </c>
      <c r="N56" s="11" t="str">
        <f>+[55]RESUMEN!$A$20</f>
        <v>EL VALOR DE LA PRETENSION CORRESPONDE A LO SOLICITADO POR EL APODERADO, SIN EMBARGO,  ES DE ANOTAR QUE SIENDO UN SOLO DEMANDANTE, EL VALOR DE DICHA PRETENSION ES IGUAL AL DE LA DEMANDA 2016-00212-00, DONDE SON TRES LOS DEMANDANTES</v>
      </c>
      <c r="P56" s="10"/>
    </row>
    <row r="57" spans="1:16" s="2" customFormat="1" ht="51" x14ac:dyDescent="0.2">
      <c r="A57" s="7">
        <v>56</v>
      </c>
      <c r="B57" s="11" t="s">
        <v>21</v>
      </c>
      <c r="C57" s="11" t="str">
        <f>+[56]RESUMEN!$B$5</f>
        <v>2016-00212-00</v>
      </c>
      <c r="D57" s="11" t="str">
        <f>+[56]RESUMEN!$B$6</f>
        <v>LABORAL DE PRIMERA INSTANCIA</v>
      </c>
      <c r="E57" s="11" t="str">
        <f>+[56]RESUMEN!$B$7</f>
        <v>MARITZA SUAREZ CAÑAS, EMILIANO VELASCO DURAN,  MARTIZA ISABEL CAMARGO SUAREZ</v>
      </c>
      <c r="F57" s="11" t="str">
        <f>+[56]RESUMEN!$B$8</f>
        <v>68246329 /  96124825 /1115724330</v>
      </c>
      <c r="G57" s="11"/>
      <c r="H57" s="11" t="str">
        <f>+[56]RESUMEN!$B$9</f>
        <v>CORPORINOQUIA</v>
      </c>
      <c r="I57" s="12">
        <f>+[56]RESUMEN!$B$11</f>
        <v>239868652</v>
      </c>
      <c r="J57" s="11" t="str">
        <f>+[56]RESUMEN!$B$12</f>
        <v>Provisión contable</v>
      </c>
      <c r="K57" s="13">
        <f>+[56]RESUMEN!$B$13</f>
        <v>42606</v>
      </c>
      <c r="L57" s="13">
        <f>+[56]RESUMEN!$B$15</f>
        <v>43701</v>
      </c>
      <c r="M57" s="11" t="str">
        <f>+[56]RESUMEN!$B$10</f>
        <v>RESPUESTA A LA DEMANDA</v>
      </c>
      <c r="N57" s="11">
        <f>+[56]RESUMEN!$A$20</f>
        <v>0</v>
      </c>
      <c r="P57" s="10"/>
    </row>
    <row r="58" spans="1:16" s="2" customFormat="1" ht="51.75" thickBot="1" x14ac:dyDescent="0.25">
      <c r="A58" s="7">
        <v>57</v>
      </c>
      <c r="B58" s="11" t="s">
        <v>21</v>
      </c>
      <c r="C58" s="11" t="str">
        <f>+[57]RESUMEN!$B$5</f>
        <v>2014-00018</v>
      </c>
      <c r="D58" s="11" t="str">
        <f>+[57]RESUMEN!$B$6</f>
        <v>ACCION CONTRACTUAL</v>
      </c>
      <c r="E58" s="11" t="str">
        <f>+[57]RESUMEN!$B$7</f>
        <v>FUNDESCOMUN</v>
      </c>
      <c r="F58" s="11">
        <f>+[57]RESUMEN!$B$8</f>
        <v>9000395155</v>
      </c>
      <c r="G58" s="11"/>
      <c r="H58" s="11" t="str">
        <f>+[57]RESUMEN!$B$9</f>
        <v>CORPORINOQUIA</v>
      </c>
      <c r="I58" s="23">
        <f>+[57]RESUMEN!$B$11</f>
        <v>382822484</v>
      </c>
      <c r="J58" s="11" t="str">
        <f>+[57]RESUMEN!$B$12</f>
        <v>No se registra</v>
      </c>
      <c r="K58" s="13">
        <f>+[57]RESUMEN!$B$13</f>
        <v>41976</v>
      </c>
      <c r="L58" s="13">
        <f>+[57]RESUMEN!$B$15</f>
        <v>43436</v>
      </c>
      <c r="M58" s="11" t="str">
        <f>+[57]RESUMEN!$B$10</f>
        <v>ALEGATOS DE CONCLUSION</v>
      </c>
      <c r="N58" s="11">
        <f>+[57]RESUMEN!$A$20</f>
        <v>0</v>
      </c>
      <c r="P58" s="10"/>
    </row>
    <row r="59" spans="1:16" s="2" customFormat="1" ht="13.5" thickBot="1" x14ac:dyDescent="0.25">
      <c r="A59" s="16"/>
      <c r="B59" s="16"/>
      <c r="C59" s="16"/>
      <c r="D59" s="16"/>
      <c r="E59" s="16"/>
      <c r="F59" s="16"/>
      <c r="G59" s="16"/>
      <c r="H59" s="16"/>
      <c r="I59" s="24">
        <f>SUM(I2:I58)</f>
        <v>6392073648.7709923</v>
      </c>
      <c r="J59" s="16"/>
      <c r="K59" s="17"/>
      <c r="L59" s="17"/>
      <c r="M59" s="16"/>
      <c r="N59" s="16"/>
      <c r="P59" s="10"/>
    </row>
    <row r="60" spans="1:16" s="2" customFormat="1" ht="13.5" thickBot="1" x14ac:dyDescent="0.25">
      <c r="A60" s="16"/>
      <c r="B60" s="16"/>
      <c r="C60" s="16"/>
      <c r="D60" s="16"/>
      <c r="E60" s="16"/>
      <c r="F60" s="16"/>
      <c r="G60" s="16"/>
      <c r="H60" s="16"/>
      <c r="I60" s="22"/>
      <c r="J60" s="16"/>
      <c r="K60" s="17"/>
      <c r="L60" s="17"/>
      <c r="M60" s="16"/>
      <c r="N60" s="16"/>
      <c r="P60" s="10"/>
    </row>
    <row r="61" spans="1:16" s="2" customFormat="1" ht="15.75" customHeight="1" thickBot="1" x14ac:dyDescent="0.35">
      <c r="A61" s="16"/>
      <c r="B61" s="28" t="s">
        <v>22</v>
      </c>
      <c r="C61" s="29"/>
      <c r="D61" s="29"/>
      <c r="E61" s="29"/>
      <c r="F61" s="29"/>
      <c r="G61" s="29"/>
      <c r="H61" s="29"/>
      <c r="I61" s="30"/>
      <c r="J61" s="16"/>
      <c r="K61" s="31" t="s">
        <v>23</v>
      </c>
      <c r="L61" s="31"/>
      <c r="M61" s="31"/>
      <c r="N61" s="31"/>
      <c r="P61" s="10"/>
    </row>
    <row r="62" spans="1:16" s="2" customFormat="1" ht="20.100000000000001" customHeight="1" x14ac:dyDescent="0.25">
      <c r="A62" s="16"/>
      <c r="B62" s="32" t="s">
        <v>17</v>
      </c>
      <c r="C62" s="33"/>
      <c r="D62" s="33"/>
      <c r="E62" s="33"/>
      <c r="F62" s="33"/>
      <c r="G62" s="33"/>
      <c r="H62" s="33"/>
      <c r="I62" s="25">
        <f>+SUMIF($J$2:$J$58,B62,$I$2:$I$58)</f>
        <v>1372036721.9275265</v>
      </c>
      <c r="K62" s="31"/>
      <c r="L62" s="31"/>
      <c r="M62" s="31"/>
      <c r="N62" s="31"/>
      <c r="P62" s="10"/>
    </row>
    <row r="63" spans="1:16" s="2" customFormat="1" ht="20.100000000000001" customHeight="1" x14ac:dyDescent="0.25">
      <c r="A63" s="16"/>
      <c r="B63" s="34" t="s">
        <v>18</v>
      </c>
      <c r="C63" s="35"/>
      <c r="D63" s="35"/>
      <c r="E63" s="35"/>
      <c r="F63" s="35"/>
      <c r="G63" s="35"/>
      <c r="H63" s="35"/>
      <c r="I63" s="26">
        <f t="shared" ref="I63:I64" si="18">+SUMIF($J$2:$J$58,B63,$I$2:$I$58)</f>
        <v>4120457208.1712542</v>
      </c>
      <c r="K63" s="31"/>
      <c r="L63" s="31"/>
      <c r="M63" s="31"/>
      <c r="N63" s="31"/>
      <c r="P63" s="10"/>
    </row>
    <row r="64" spans="1:16" s="2" customFormat="1" ht="20.100000000000001" customHeight="1" x14ac:dyDescent="0.25">
      <c r="A64" s="16"/>
      <c r="B64" s="34" t="s">
        <v>16</v>
      </c>
      <c r="C64" s="35"/>
      <c r="D64" s="35"/>
      <c r="E64" s="35"/>
      <c r="F64" s="35"/>
      <c r="G64" s="35"/>
      <c r="H64" s="35"/>
      <c r="I64" s="26">
        <f t="shared" si="18"/>
        <v>899579718.67220974</v>
      </c>
      <c r="K64" s="31"/>
      <c r="L64" s="31"/>
      <c r="M64" s="31"/>
      <c r="N64" s="31"/>
      <c r="P64" s="10"/>
    </row>
    <row r="65" spans="2:19" ht="20.100000000000001" customHeight="1" thickBot="1" x14ac:dyDescent="0.3">
      <c r="B65" s="36" t="s">
        <v>9</v>
      </c>
      <c r="C65" s="37"/>
      <c r="D65" s="37"/>
      <c r="E65" s="37"/>
      <c r="F65" s="37"/>
      <c r="G65" s="37"/>
      <c r="H65" s="37"/>
      <c r="I65" s="27">
        <f>SUM(I2:I58)</f>
        <v>6392073648.7709923</v>
      </c>
      <c r="K65" s="31"/>
      <c r="L65" s="31"/>
      <c r="M65" s="31"/>
      <c r="N65" s="31"/>
      <c r="P65" s="14">
        <f>SUM(P2:P58)</f>
        <v>0</v>
      </c>
      <c r="Q65" s="14">
        <f>SUM(Q2:Q58)</f>
        <v>787516200.77834105</v>
      </c>
      <c r="R65" s="14">
        <f>SUM(R2:R58)</f>
        <v>2233232185.0668454</v>
      </c>
      <c r="S65" s="15">
        <f>SUM(P65:R65)</f>
        <v>3020748385.8451862</v>
      </c>
    </row>
    <row r="66" spans="2:19" x14ac:dyDescent="0.2">
      <c r="P66" s="15">
        <f>+I65-S65</f>
        <v>3371325262.925806</v>
      </c>
    </row>
    <row r="67" spans="2:19" x14ac:dyDescent="0.2">
      <c r="P67" s="15"/>
    </row>
    <row r="69" spans="2:19" ht="40.5" customHeight="1" x14ac:dyDescent="0.2">
      <c r="F69" s="19"/>
      <c r="G69" s="18"/>
      <c r="H69" s="6"/>
      <c r="I69" s="6"/>
      <c r="J69" s="6"/>
      <c r="K69" s="6"/>
      <c r="L69" s="6"/>
      <c r="M69" s="6"/>
    </row>
    <row r="70" spans="2:19" x14ac:dyDescent="0.2">
      <c r="F70" s="19"/>
      <c r="G70" s="18"/>
    </row>
    <row r="71" spans="2:19" x14ac:dyDescent="0.2">
      <c r="F71" s="19"/>
      <c r="G71" s="18"/>
    </row>
    <row r="72" spans="2:19" x14ac:dyDescent="0.2">
      <c r="F72" s="21"/>
      <c r="G72" s="21"/>
    </row>
    <row r="73" spans="2:19" ht="36" customHeight="1" x14ac:dyDescent="0.2">
      <c r="F73" s="19"/>
      <c r="G73" s="18"/>
    </row>
  </sheetData>
  <autoFilter ref="A1:N65"/>
  <mergeCells count="6">
    <mergeCell ref="B61:I61"/>
    <mergeCell ref="K61:N65"/>
    <mergeCell ref="B62:H62"/>
    <mergeCell ref="B64:H64"/>
    <mergeCell ref="B63:H63"/>
    <mergeCell ref="B65:H65"/>
  </mergeCells>
  <conditionalFormatting sqref="A2 B27:N27 H23:N26 H28:N28 C2:N2 B23:F26 B28:F28 B29:N51 A4:A5 A7:A8 A10:A11 A13:A14 A16:A17 A19:A20 A22:A23 A25:A26 A28:A29 A31:A32 A34:A35 A37:A38 A40:A41 A43:A44 A46:A47 A49:A50 A52:A53 A55:B55 A57:A61">
    <cfRule type="expression" dxfId="98" priority="142">
      <formula>$J2="Provisión contable"</formula>
    </cfRule>
    <cfRule type="expression" dxfId="97" priority="143">
      <formula>$J2="Cuentas de orden"</formula>
    </cfRule>
    <cfRule type="expression" dxfId="96" priority="144">
      <formula>$J2="No se registra"</formula>
    </cfRule>
  </conditionalFormatting>
  <conditionalFormatting sqref="A62:B64 I62:I64">
    <cfRule type="expression" dxfId="95" priority="145">
      <formula>$I62="Provisión contable"</formula>
    </cfRule>
    <cfRule type="expression" dxfId="94" priority="146">
      <formula>$I62="Cuentas de orden"</formula>
    </cfRule>
    <cfRule type="expression" dxfId="93" priority="147">
      <formula>$I62="No se registra"</formula>
    </cfRule>
  </conditionalFormatting>
  <conditionalFormatting sqref="G23">
    <cfRule type="expression" dxfId="92" priority="118">
      <formula>$J23="Provisión contable"</formula>
    </cfRule>
    <cfRule type="expression" dxfId="91" priority="119">
      <formula>$J23="Cuentas de orden"</formula>
    </cfRule>
    <cfRule type="expression" dxfId="90" priority="120">
      <formula>$J23="No se registra"</formula>
    </cfRule>
  </conditionalFormatting>
  <conditionalFormatting sqref="G24">
    <cfRule type="expression" dxfId="89" priority="115">
      <formula>$J24="Provisión contable"</formula>
    </cfRule>
    <cfRule type="expression" dxfId="88" priority="116">
      <formula>$J24="Cuentas de orden"</formula>
    </cfRule>
    <cfRule type="expression" dxfId="87" priority="117">
      <formula>$J24="No se registra"</formula>
    </cfRule>
  </conditionalFormatting>
  <conditionalFormatting sqref="G25">
    <cfRule type="expression" dxfId="86" priority="112">
      <formula>$J25="Provisión contable"</formula>
    </cfRule>
    <cfRule type="expression" dxfId="85" priority="113">
      <formula>$J25="Cuentas de orden"</formula>
    </cfRule>
    <cfRule type="expression" dxfId="84" priority="114">
      <formula>$J25="No se registra"</formula>
    </cfRule>
  </conditionalFormatting>
  <conditionalFormatting sqref="G26">
    <cfRule type="expression" dxfId="83" priority="109">
      <formula>$J26="Provisión contable"</formula>
    </cfRule>
    <cfRule type="expression" dxfId="82" priority="110">
      <formula>$J26="Cuentas de orden"</formula>
    </cfRule>
    <cfRule type="expression" dxfId="81" priority="111">
      <formula>$J26="No se registra"</formula>
    </cfRule>
  </conditionalFormatting>
  <conditionalFormatting sqref="G33">
    <cfRule type="expression" dxfId="80" priority="106">
      <formula>$J33="Provisión contable"</formula>
    </cfRule>
    <cfRule type="expression" dxfId="79" priority="107">
      <formula>$J33="Cuentas de orden"</formula>
    </cfRule>
    <cfRule type="expression" dxfId="78" priority="108">
      <formula>$J33="No se registra"</formula>
    </cfRule>
  </conditionalFormatting>
  <conditionalFormatting sqref="G34">
    <cfRule type="expression" dxfId="77" priority="103">
      <formula>$J34="Provisión contable"</formula>
    </cfRule>
    <cfRule type="expression" dxfId="76" priority="104">
      <formula>$J34="Cuentas de orden"</formula>
    </cfRule>
    <cfRule type="expression" dxfId="75" priority="105">
      <formula>$J34="No se registra"</formula>
    </cfRule>
  </conditionalFormatting>
  <conditionalFormatting sqref="G35">
    <cfRule type="expression" dxfId="74" priority="100">
      <formula>$J35="Provisión contable"</formula>
    </cfRule>
    <cfRule type="expression" dxfId="73" priority="101">
      <formula>$J35="Cuentas de orden"</formula>
    </cfRule>
    <cfRule type="expression" dxfId="72" priority="102">
      <formula>$J35="No se registra"</formula>
    </cfRule>
  </conditionalFormatting>
  <conditionalFormatting sqref="G36">
    <cfRule type="expression" dxfId="71" priority="97">
      <formula>$J36="Provisión contable"</formula>
    </cfRule>
    <cfRule type="expression" dxfId="70" priority="98">
      <formula>$J36="Cuentas de orden"</formula>
    </cfRule>
    <cfRule type="expression" dxfId="69" priority="99">
      <formula>$J36="No se registra"</formula>
    </cfRule>
  </conditionalFormatting>
  <conditionalFormatting sqref="G37">
    <cfRule type="expression" dxfId="68" priority="94">
      <formula>$J37="Provisión contable"</formula>
    </cfRule>
    <cfRule type="expression" dxfId="67" priority="95">
      <formula>$J37="Cuentas de orden"</formula>
    </cfRule>
    <cfRule type="expression" dxfId="66" priority="96">
      <formula>$J37="No se registra"</formula>
    </cfRule>
  </conditionalFormatting>
  <conditionalFormatting sqref="G46">
    <cfRule type="expression" dxfId="65" priority="91">
      <formula>$J46="Provisión contable"</formula>
    </cfRule>
    <cfRule type="expression" dxfId="64" priority="92">
      <formula>$J46="Cuentas de orden"</formula>
    </cfRule>
    <cfRule type="expression" dxfId="63" priority="93">
      <formula>$J46="No se registra"</formula>
    </cfRule>
  </conditionalFormatting>
  <conditionalFormatting sqref="G48">
    <cfRule type="expression" dxfId="62" priority="88">
      <formula>$J48="Provisión contable"</formula>
    </cfRule>
    <cfRule type="expression" dxfId="61" priority="89">
      <formula>$J48="Cuentas de orden"</formula>
    </cfRule>
    <cfRule type="expression" dxfId="60" priority="90">
      <formula>$J48="No se registra"</formula>
    </cfRule>
  </conditionalFormatting>
  <conditionalFormatting sqref="G28">
    <cfRule type="expression" dxfId="59" priority="64">
      <formula>$J28="Provisión contable"</formula>
    </cfRule>
    <cfRule type="expression" dxfId="58" priority="65">
      <formula>$J28="Cuentas de orden"</formula>
    </cfRule>
    <cfRule type="expression" dxfId="57" priority="66">
      <formula>$J28="No se registra"</formula>
    </cfRule>
  </conditionalFormatting>
  <conditionalFormatting sqref="G39">
    <cfRule type="expression" dxfId="56" priority="61">
      <formula>$J39="Provisión contable"</formula>
    </cfRule>
    <cfRule type="expression" dxfId="55" priority="62">
      <formula>$J39="Cuentas de orden"</formula>
    </cfRule>
    <cfRule type="expression" dxfId="54" priority="63">
      <formula>$J39="No se registra"</formula>
    </cfRule>
  </conditionalFormatting>
  <conditionalFormatting sqref="G50:G51">
    <cfRule type="expression" dxfId="53" priority="58">
      <formula>$J50="Provisión contable"</formula>
    </cfRule>
    <cfRule type="expression" dxfId="52" priority="59">
      <formula>$J50="Cuentas de orden"</formula>
    </cfRule>
    <cfRule type="expression" dxfId="51" priority="60">
      <formula>$J50="No se registra"</formula>
    </cfRule>
  </conditionalFormatting>
  <conditionalFormatting sqref="G38">
    <cfRule type="expression" dxfId="50" priority="49">
      <formula>$J38="Provisión contable"</formula>
    </cfRule>
    <cfRule type="expression" dxfId="49" priority="50">
      <formula>$J38="Cuentas de orden"</formula>
    </cfRule>
    <cfRule type="expression" dxfId="48" priority="51">
      <formula>$J38="No se registra"</formula>
    </cfRule>
  </conditionalFormatting>
  <conditionalFormatting sqref="B2">
    <cfRule type="expression" dxfId="47" priority="46">
      <formula>$J2="Provisión contable"</formula>
    </cfRule>
    <cfRule type="expression" dxfId="46" priority="47">
      <formula>$J2="Cuentas de orden"</formula>
    </cfRule>
    <cfRule type="expression" dxfId="45" priority="48">
      <formula>$J2="No se registra"</formula>
    </cfRule>
  </conditionalFormatting>
  <conditionalFormatting sqref="A3 C3:N4 C8:N30 A6 A9 A12 A15 A18 A21 A24 A27 A30 A33 A36 A39 A42 A45 A48 A51 A54 A56">
    <cfRule type="expression" dxfId="44" priority="43">
      <formula>$J3="Provisión contable"</formula>
    </cfRule>
    <cfRule type="expression" dxfId="43" priority="44">
      <formula>$J3="Cuentas de orden"</formula>
    </cfRule>
    <cfRule type="expression" dxfId="42" priority="45">
      <formula>$J3="No se registra"</formula>
    </cfRule>
  </conditionalFormatting>
  <conditionalFormatting sqref="B3:B4 B8:B21">
    <cfRule type="expression" dxfId="41" priority="40">
      <formula>$J3="Provisión contable"</formula>
    </cfRule>
    <cfRule type="expression" dxfId="40" priority="41">
      <formula>$J3="Cuentas de orden"</formula>
    </cfRule>
    <cfRule type="expression" dxfId="39" priority="42">
      <formula>$J3="No se registra"</formula>
    </cfRule>
  </conditionalFormatting>
  <conditionalFormatting sqref="C5:N5 J8 J11 J14 J17 J20">
    <cfRule type="expression" dxfId="38" priority="37">
      <formula>$J5="Provisión contable"</formula>
    </cfRule>
    <cfRule type="expression" dxfId="37" priority="38">
      <formula>$J5="Cuentas de orden"</formula>
    </cfRule>
    <cfRule type="expression" dxfId="36" priority="39">
      <formula>$J5="No se registra"</formula>
    </cfRule>
  </conditionalFormatting>
  <conditionalFormatting sqref="B5">
    <cfRule type="expression" dxfId="35" priority="34">
      <formula>$J5="Provisión contable"</formula>
    </cfRule>
    <cfRule type="expression" dxfId="34" priority="35">
      <formula>$J5="Cuentas de orden"</formula>
    </cfRule>
    <cfRule type="expression" dxfId="33" priority="36">
      <formula>$J5="No se registra"</formula>
    </cfRule>
  </conditionalFormatting>
  <conditionalFormatting sqref="C6:N7">
    <cfRule type="expression" dxfId="32" priority="31">
      <formula>$J6="Provisión contable"</formula>
    </cfRule>
    <cfRule type="expression" dxfId="31" priority="32">
      <formula>$J6="Cuentas de orden"</formula>
    </cfRule>
    <cfRule type="expression" dxfId="30" priority="33">
      <formula>$J6="No se registra"</formula>
    </cfRule>
  </conditionalFormatting>
  <conditionalFormatting sqref="B6:B7">
    <cfRule type="expression" dxfId="29" priority="28">
      <formula>$J6="Provisión contable"</formula>
    </cfRule>
    <cfRule type="expression" dxfId="28" priority="29">
      <formula>$J6="Cuentas de orden"</formula>
    </cfRule>
    <cfRule type="expression" dxfId="27" priority="30">
      <formula>$J6="No se registra"</formula>
    </cfRule>
  </conditionalFormatting>
  <conditionalFormatting sqref="B22:B30">
    <cfRule type="expression" dxfId="26" priority="25">
      <formula>$J22="Provisión contable"</formula>
    </cfRule>
    <cfRule type="expression" dxfId="25" priority="26">
      <formula>$J22="Cuentas de orden"</formula>
    </cfRule>
    <cfRule type="expression" dxfId="24" priority="27">
      <formula>$J22="No se registra"</formula>
    </cfRule>
  </conditionalFormatting>
  <conditionalFormatting sqref="B52:N54">
    <cfRule type="expression" dxfId="23" priority="22">
      <formula>$J52="Provisión contable"</formula>
    </cfRule>
    <cfRule type="expression" dxfId="22" priority="23">
      <formula>$J52="Cuentas de orden"</formula>
    </cfRule>
    <cfRule type="expression" dxfId="21" priority="24">
      <formula>$J52="No se registra"</formula>
    </cfRule>
  </conditionalFormatting>
  <conditionalFormatting sqref="G52:G54">
    <cfRule type="expression" dxfId="20" priority="19">
      <formula>$J52="Provisión contable"</formula>
    </cfRule>
    <cfRule type="expression" dxfId="19" priority="20">
      <formula>$J52="Cuentas de orden"</formula>
    </cfRule>
    <cfRule type="expression" dxfId="18" priority="21">
      <formula>$J52="No se registra"</formula>
    </cfRule>
  </conditionalFormatting>
  <conditionalFormatting sqref="C55:N55">
    <cfRule type="expression" dxfId="17" priority="16">
      <formula>$J55="Provisión contable"</formula>
    </cfRule>
    <cfRule type="expression" dxfId="16" priority="17">
      <formula>$J55="Cuentas de orden"</formula>
    </cfRule>
    <cfRule type="expression" dxfId="15" priority="18">
      <formula>$J55="No se registra"</formula>
    </cfRule>
  </conditionalFormatting>
  <conditionalFormatting sqref="G55">
    <cfRule type="expression" dxfId="14" priority="13">
      <formula>$J55="Provisión contable"</formula>
    </cfRule>
    <cfRule type="expression" dxfId="13" priority="14">
      <formula>$J55="Cuentas de orden"</formula>
    </cfRule>
    <cfRule type="expression" dxfId="12" priority="15">
      <formula>$J55="No se registra"</formula>
    </cfRule>
  </conditionalFormatting>
  <conditionalFormatting sqref="B56:B60">
    <cfRule type="expression" dxfId="11" priority="10">
      <formula>$J56="Provisión contable"</formula>
    </cfRule>
    <cfRule type="expression" dxfId="10" priority="11">
      <formula>$J56="Cuentas de orden"</formula>
    </cfRule>
    <cfRule type="expression" dxfId="9" priority="12">
      <formula>$J56="No se registra"</formula>
    </cfRule>
  </conditionalFormatting>
  <conditionalFormatting sqref="C56:N60 J61">
    <cfRule type="expression" dxfId="8" priority="7">
      <formula>$J56="Provisión contable"</formula>
    </cfRule>
    <cfRule type="expression" dxfId="7" priority="8">
      <formula>$J56="Cuentas de orden"</formula>
    </cfRule>
    <cfRule type="expression" dxfId="6" priority="9">
      <formula>$J56="No se registra"</formula>
    </cfRule>
  </conditionalFormatting>
  <conditionalFormatting sqref="G56:G60">
    <cfRule type="expression" dxfId="5" priority="4">
      <formula>$J56="Provisión contable"</formula>
    </cfRule>
    <cfRule type="expression" dxfId="4" priority="5">
      <formula>$J56="Cuentas de orden"</formula>
    </cfRule>
    <cfRule type="expression" dxfId="3" priority="6">
      <formula>$J56="No se registra"</formula>
    </cfRule>
  </conditionalFormatting>
  <conditionalFormatting sqref="B61">
    <cfRule type="expression" dxfId="2" priority="1">
      <formula>$I61="Provisión contable"</formula>
    </cfRule>
    <cfRule type="expression" dxfId="1" priority="2">
      <formula>$I61="Cuentas de orden"</formula>
    </cfRule>
    <cfRule type="expression" dxfId="0" priority="3">
      <formula>$I61="No se registra"</formula>
    </cfRule>
  </conditionalFormatting>
  <pageMargins left="0.23622047244094491" right="0.23622047244094491" top="0.74803149606299213" bottom="0.74803149606299213" header="0.31496062992125984" footer="0.31496062992125984"/>
  <pageSetup paperSize="182" scale="64" fitToHeight="0" orientation="landscape" r:id="rId1"/>
  <rowBreaks count="3" manualBreakCount="3">
    <brk id="20" max="13" man="1"/>
    <brk id="33" max="13" man="1"/>
    <brk id="46" max="13" man="1"/>
  </rowBreaks>
  <colBreaks count="1" manualBreakCount="1">
    <brk id="15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</vt:lpstr>
      <vt:lpstr>Hoja1</vt:lpstr>
      <vt:lpstr>Informe!Área_de_impresión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lopez</dc:creator>
  <cp:lastModifiedBy>diego lopez</cp:lastModifiedBy>
  <cp:lastPrinted>2018-11-16T16:31:38Z</cp:lastPrinted>
  <dcterms:created xsi:type="dcterms:W3CDTF">2016-11-16T17:42:07Z</dcterms:created>
  <dcterms:modified xsi:type="dcterms:W3CDTF">2018-11-16T16:32:28Z</dcterms:modified>
</cp:coreProperties>
</file>